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queryTables/queryTable9.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Default Extension="vml" ContentType="application/vnd.openxmlformats-officedocument.vmlDrawing"/>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queryTables/queryTable5.xml" ContentType="application/vnd.openxmlformats-officedocument.spreadsheetml.queryTable+xml"/>
  <Override PartName="/xl/queryTables/queryTable6.xml" ContentType="application/vnd.openxmlformats-officedocument.spreadsheetml.queryTable+xml"/>
  <Override PartName="/xl/pivotCache/pivotCacheRecords1.xml" ContentType="application/vnd.openxmlformats-officedocument.spreadsheetml.pivotCacheRecords+xml"/>
  <Override PartName="/xl/queryTables/queryTable3.xml" ContentType="application/vnd.openxmlformats-officedocument.spreadsheetml.queryTable+xml"/>
  <Override PartName="/xl/queryTables/queryTable4.xml" ContentType="application/vnd.openxmlformats-officedocument.spreadsheetml.query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Objects="none" codeName="ThisWorkbook" hidePivotFieldList="1" defaultThemeVersion="124226"/>
  <bookViews>
    <workbookView xWindow="10185" yWindow="-180" windowWidth="9075" windowHeight="11040" tabRatio="716" activeTab="1"/>
  </bookViews>
  <sheets>
    <sheet name="E-learning credit hours" sheetId="12" r:id="rId1"/>
    <sheet name="Overview tables (51-54)" sheetId="10" r:id="rId2"/>
    <sheet name="Tables by type (55-76)" sheetId="9" r:id="rId3"/>
    <sheet name="Pivot Table for Fact Book" sheetId="15" r:id="rId4"/>
    <sheet name="Format for pivot table FB" sheetId="21" r:id="rId5"/>
    <sheet name=" Pivot Table for Data Exchange" sheetId="14" r:id="rId6"/>
    <sheet name="Format for pivot table DE" sheetId="20" r:id="rId7"/>
    <sheet name="Summary Table for Fact Book" sheetId="19" r:id="rId8"/>
  </sheets>
  <externalReferences>
    <externalReference r:id="rId9"/>
    <externalReference r:id="rId10"/>
  </externalReferences>
  <definedNames>
    <definedName name="\a">#N/A</definedName>
    <definedName name="\c">#N/A</definedName>
    <definedName name="\s">#N/A</definedName>
    <definedName name="\x">#N/A</definedName>
    <definedName name="\z">#N/A</definedName>
    <definedName name="__123Graph_D" localSheetId="0" hidden="1">'[1]Surveys In'!$AA$10:$AC$10</definedName>
    <definedName name="__123Graph_D" hidden="1">'[1]Surveys In'!$AA$10:$AC$10</definedName>
    <definedName name="__123Graph_LBL_D" localSheetId="0" hidden="1">'[1]Surveys In'!$AA$10:$AC$10</definedName>
    <definedName name="__123Graph_LBL_D" hidden="1">'[1]Surveys In'!$AA$10:$AC$10</definedName>
    <definedName name="__123Graph_X" localSheetId="0" hidden="1">'[1]Surveys In'!$AA$8:$AC$8</definedName>
    <definedName name="__123Graph_X" hidden="1">'[1]Surveys In'!$AA$8:$AC$8</definedName>
    <definedName name="_Order1" hidden="1">255</definedName>
    <definedName name="APPHEAD">#REF!</definedName>
    <definedName name="CHART" localSheetId="0">'[1]Surveys In'!$A$1:$U$38</definedName>
    <definedName name="CHART">'[1]Surveys In'!$A$1:$U$38</definedName>
    <definedName name="CHHEAD">#REF!</definedName>
    <definedName name="Dual07" localSheetId="0">'E-learning credit hours'!$P$481:$P$584</definedName>
    <definedName name="Dual08" localSheetId="0">'E-learning credit hours'!$S$481:$S$584</definedName>
    <definedName name="JrCH08ug1" localSheetId="0">'E-learning credit hours'!$V$516:$V$584</definedName>
    <definedName name="JrCH08ug2" localSheetId="0">'E-learning credit hours'!$X$516:$X$584</definedName>
    <definedName name="JrCH08ug3" localSheetId="0">'E-learning credit hours'!$Z$516:$Z$584</definedName>
    <definedName name="JrCH08ug4" localSheetId="0">'E-learning credit hours'!$AB$516:$AB$584</definedName>
    <definedName name="JrSCH08ug1" localSheetId="0">'E-learning credit hours'!$H$516:$H$584</definedName>
    <definedName name="JrSCH08ug2" localSheetId="0">'E-learning credit hours'!$J$516:$J$584</definedName>
    <definedName name="JrSCH08ug3" localSheetId="0">'E-learning credit hours'!$L$516:$L$584</definedName>
    <definedName name="JrSCH08ug4" localSheetId="0">'E-learning credit hours'!$N$516:$N$584</definedName>
    <definedName name="MEMO" localSheetId="0">'[1]Surveys In'!$A$1:$U$41</definedName>
    <definedName name="MEMO">'[1]Surveys In'!$A$1:$U$41</definedName>
    <definedName name="N" localSheetId="0">'[1]Surveys In'!$I$38</definedName>
    <definedName name="N">'[1]Surveys In'!$I$38</definedName>
    <definedName name="NEWYEAR">#REF!</definedName>
    <definedName name="PAGE_17">#REF!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2">'[2]1. Completions'!#REF!</definedName>
    <definedName name="PAGE20">#REF!</definedName>
    <definedName name="PAGE3">'[2]1. Completions'!#REF!</definedName>
    <definedName name="PAGE4">'[2]1. Completions'!#REF!</definedName>
    <definedName name="PAGE5">'[2]1. Completions'!#REF!</definedName>
    <definedName name="PAGE6">#REF!</definedName>
    <definedName name="PAGE7">#REF!</definedName>
    <definedName name="PAGE8">#REF!</definedName>
    <definedName name="PAGE9">#REF!</definedName>
    <definedName name="PART1">'[2]1. Completions'!#REF!</definedName>
    <definedName name="PART2">#REF!</definedName>
    <definedName name="PART3">#REF!</definedName>
    <definedName name="PART4A">#REF!</definedName>
    <definedName name="PART4B">#REF!</definedName>
    <definedName name="PART5">#REF!</definedName>
    <definedName name="PART6A">#REF!</definedName>
    <definedName name="PART6B">#REF!</definedName>
    <definedName name="PART6C">#REF!</definedName>
    <definedName name="PART7B">#REF!</definedName>
    <definedName name="PART7C">#REF!</definedName>
    <definedName name="PART8">#REF!</definedName>
    <definedName name="_xlnm.Print_Area" localSheetId="5">' Pivot Table for Data Exchange'!$A$6:$S$581</definedName>
    <definedName name="_xlnm.Print_Area" localSheetId="0">'E-learning credit hours'!#REF!</definedName>
    <definedName name="_xlnm.Print_Area" localSheetId="1">'Overview tables (51-54)'!$A$1:$P$117</definedName>
    <definedName name="_xlnm.Print_Area" localSheetId="2">'Tables by type (55-76)'!$A$1:$H$461,'Tables by type (55-76)'!$I$1:$P$217</definedName>
    <definedName name="_xlnm.Print_Area">#REF!</definedName>
    <definedName name="_xlnm.Print_Titles" localSheetId="5">' Pivot Table for Data Exchange'!$A:$B,' Pivot Table for Data Exchange'!$4:$5</definedName>
    <definedName name="_xlnm.Print_Titles" localSheetId="0">'E-learning credit hours'!$A:$D</definedName>
    <definedName name="R_" localSheetId="0">'[1]Surveys In'!$D$38</definedName>
    <definedName name="R_">'[1]Surveys In'!$D$38</definedName>
    <definedName name="RATIONALE">#REF!</definedName>
    <definedName name="RATIONALE2">#REF!</definedName>
    <definedName name="RNG_DATA_A" localSheetId="0">'[1]Surveys In'!$AA$10:$AC$10</definedName>
    <definedName name="RNG_DATA_A">'[1]Surveys In'!$AA$10:$AC$10</definedName>
    <definedName name="RNG_LABEL_Y" localSheetId="0">'[1]Surveys In'!$V$9</definedName>
    <definedName name="RNG_LABEL_Y">'[1]Surveys In'!$V$9</definedName>
    <definedName name="SALHEAD">#REF!</definedName>
    <definedName name="SrSCH08gr2" localSheetId="0">'E-learning credit hours'!#REF!</definedName>
    <definedName name="SrSCH08gr3" localSheetId="0">'E-learning credit hours'!#REF!</definedName>
    <definedName name="SrSCH08gr4" localSheetId="0">'E-learning credit hours'!#REF!</definedName>
    <definedName name="SrSCH08ug2" localSheetId="0">'E-learning credit hours'!$J$481:$J$515</definedName>
    <definedName name="SrSCH08ug3" localSheetId="0">'E-learning credit hours'!$L$481:$L$515</definedName>
    <definedName name="SrSCH08ug4" localSheetId="0">'E-learning credit hours'!$N$481:$N$515</definedName>
  </definedNames>
  <calcPr calcId="125725"/>
  <pivotCaches>
    <pivotCache cacheId="13" r:id="rId11"/>
  </pivotCaches>
</workbook>
</file>

<file path=xl/calcChain.xml><?xml version="1.0" encoding="utf-8"?>
<calcChain xmlns="http://schemas.openxmlformats.org/spreadsheetml/2006/main">
  <c r="C53" i="19"/>
  <c r="T635" i="12" l="1"/>
  <c r="S635"/>
  <c r="T634"/>
  <c r="S634"/>
  <c r="T633"/>
  <c r="S633"/>
  <c r="T632"/>
  <c r="S632"/>
  <c r="T631"/>
  <c r="S631"/>
  <c r="T630"/>
  <c r="S630"/>
  <c r="T629"/>
  <c r="S629"/>
  <c r="T628"/>
  <c r="S628"/>
  <c r="T627"/>
  <c r="S627"/>
  <c r="T626"/>
  <c r="S626"/>
  <c r="T625"/>
  <c r="S625"/>
  <c r="T624"/>
  <c r="S624"/>
  <c r="T623"/>
  <c r="S623"/>
  <c r="T622"/>
  <c r="S622"/>
  <c r="T621"/>
  <c r="S621"/>
  <c r="T620"/>
  <c r="S620"/>
  <c r="T619"/>
  <c r="S619"/>
  <c r="T618"/>
  <c r="S618"/>
  <c r="T617"/>
  <c r="S617"/>
  <c r="T616"/>
  <c r="S616"/>
  <c r="T615"/>
  <c r="S615"/>
  <c r="T614"/>
  <c r="S614"/>
  <c r="T613"/>
  <c r="S613"/>
  <c r="T612"/>
  <c r="S612"/>
  <c r="T611"/>
  <c r="S611"/>
  <c r="T610"/>
  <c r="S610"/>
  <c r="T609"/>
  <c r="S609"/>
  <c r="T608"/>
  <c r="S608"/>
  <c r="T607"/>
  <c r="S607"/>
  <c r="T606"/>
  <c r="S606"/>
  <c r="T605"/>
  <c r="S605"/>
  <c r="T604"/>
  <c r="S604"/>
  <c r="T603"/>
  <c r="S603"/>
  <c r="T602"/>
  <c r="S602"/>
  <c r="T601"/>
  <c r="S601"/>
  <c r="T600"/>
  <c r="S600"/>
  <c r="T599"/>
  <c r="S599"/>
  <c r="T598"/>
  <c r="S598"/>
  <c r="T597"/>
  <c r="S597"/>
  <c r="T596"/>
  <c r="S596"/>
  <c r="T595"/>
  <c r="S595"/>
  <c r="T594"/>
  <c r="S594"/>
  <c r="T593"/>
  <c r="S593"/>
  <c r="T592"/>
  <c r="S592"/>
  <c r="T591"/>
  <c r="S591"/>
  <c r="T590"/>
  <c r="S590"/>
  <c r="T589"/>
  <c r="S589"/>
  <c r="T588"/>
  <c r="S588"/>
  <c r="T587"/>
  <c r="S587"/>
  <c r="T586"/>
  <c r="S586"/>
  <c r="T585"/>
  <c r="S585"/>
  <c r="T584"/>
  <c r="S584"/>
  <c r="T583"/>
  <c r="S583"/>
  <c r="T582"/>
  <c r="S582"/>
  <c r="T581"/>
  <c r="S581"/>
  <c r="T580"/>
  <c r="S580"/>
  <c r="T579"/>
  <c r="S579"/>
  <c r="T578"/>
  <c r="S578"/>
  <c r="T577"/>
  <c r="S577"/>
  <c r="T576"/>
  <c r="S576"/>
  <c r="T575"/>
  <c r="S575"/>
  <c r="T574"/>
  <c r="S574"/>
  <c r="T573"/>
  <c r="S573"/>
  <c r="T572"/>
  <c r="S572"/>
  <c r="T571"/>
  <c r="S571"/>
  <c r="T570"/>
  <c r="S570"/>
  <c r="T569"/>
  <c r="S569"/>
  <c r="T568"/>
  <c r="S568"/>
  <c r="T567"/>
  <c r="S567"/>
  <c r="T566"/>
  <c r="S566"/>
  <c r="T565"/>
  <c r="S565"/>
  <c r="T564"/>
  <c r="S564"/>
  <c r="T563"/>
  <c r="S563"/>
  <c r="T562"/>
  <c r="S562"/>
  <c r="T561"/>
  <c r="S561"/>
  <c r="T560"/>
  <c r="S560"/>
  <c r="T559"/>
  <c r="S559"/>
  <c r="T558"/>
  <c r="S558"/>
  <c r="T557"/>
  <c r="S557"/>
  <c r="T556"/>
  <c r="S556"/>
  <c r="T555"/>
  <c r="S555"/>
  <c r="T554"/>
  <c r="S554"/>
  <c r="T553"/>
  <c r="S553"/>
  <c r="T552"/>
  <c r="S552"/>
  <c r="T551"/>
  <c r="S551"/>
  <c r="T550"/>
  <c r="S550"/>
  <c r="T549"/>
  <c r="S549"/>
  <c r="T548"/>
  <c r="S548"/>
  <c r="T547"/>
  <c r="S547"/>
  <c r="T546"/>
  <c r="S546"/>
  <c r="T545"/>
  <c r="S545"/>
  <c r="T544"/>
  <c r="S544"/>
  <c r="T543"/>
  <c r="S543"/>
  <c r="T542"/>
  <c r="S542"/>
  <c r="T541"/>
  <c r="S541"/>
  <c r="T540"/>
  <c r="S540"/>
  <c r="T539"/>
  <c r="S539"/>
  <c r="T538"/>
  <c r="S538"/>
  <c r="T537"/>
  <c r="S537"/>
  <c r="T536"/>
  <c r="S536"/>
  <c r="T535"/>
  <c r="S535"/>
  <c r="T534"/>
  <c r="S534"/>
  <c r="T533"/>
  <c r="S533"/>
  <c r="T532"/>
  <c r="S532"/>
  <c r="T531"/>
  <c r="S531"/>
  <c r="T530"/>
  <c r="S530"/>
  <c r="T529"/>
  <c r="S529"/>
  <c r="T528"/>
  <c r="S528"/>
  <c r="T527"/>
  <c r="S527"/>
  <c r="T526"/>
  <c r="S526"/>
  <c r="T525"/>
  <c r="S525"/>
  <c r="T524"/>
  <c r="S524"/>
  <c r="T523"/>
  <c r="S523"/>
  <c r="T522"/>
  <c r="S522"/>
  <c r="T521"/>
  <c r="S521"/>
  <c r="T520"/>
  <c r="S520"/>
  <c r="T519"/>
  <c r="S519"/>
  <c r="T518"/>
  <c r="S518"/>
  <c r="T517"/>
  <c r="S517"/>
  <c r="T516"/>
  <c r="S516"/>
  <c r="T515"/>
  <c r="S515"/>
  <c r="T514"/>
  <c r="S514"/>
  <c r="T513"/>
  <c r="S513"/>
  <c r="T512"/>
  <c r="S512"/>
  <c r="T511"/>
  <c r="S511"/>
  <c r="T510"/>
  <c r="S510"/>
  <c r="T509"/>
  <c r="S509"/>
  <c r="T508"/>
  <c r="S508"/>
  <c r="T507"/>
  <c r="S507"/>
  <c r="T506"/>
  <c r="S506"/>
  <c r="T505"/>
  <c r="S505"/>
  <c r="T504"/>
  <c r="S504"/>
  <c r="T503"/>
  <c r="S503"/>
  <c r="T502"/>
  <c r="S502"/>
  <c r="T501"/>
  <c r="S501"/>
  <c r="T500"/>
  <c r="S500"/>
  <c r="T499"/>
  <c r="S499"/>
  <c r="T498"/>
  <c r="S498"/>
  <c r="T497"/>
  <c r="S497"/>
  <c r="T496"/>
  <c r="S496"/>
  <c r="T495"/>
  <c r="S495"/>
  <c r="T494"/>
  <c r="S494"/>
  <c r="T493"/>
  <c r="S493"/>
  <c r="T492"/>
  <c r="S492"/>
  <c r="T491"/>
  <c r="S491"/>
  <c r="T490"/>
  <c r="S490"/>
  <c r="T489"/>
  <c r="S489"/>
  <c r="T488"/>
  <c r="S488"/>
  <c r="T487"/>
  <c r="S487"/>
  <c r="T486"/>
  <c r="S486"/>
  <c r="T485"/>
  <c r="S485"/>
  <c r="T484"/>
  <c r="S484"/>
  <c r="T483"/>
  <c r="S483"/>
  <c r="T482"/>
  <c r="S482"/>
  <c r="T481"/>
  <c r="S481"/>
  <c r="T480"/>
  <c r="S480"/>
  <c r="T479"/>
  <c r="S479"/>
  <c r="T478"/>
  <c r="S478"/>
  <c r="T477"/>
  <c r="S477"/>
  <c r="T476"/>
  <c r="S476"/>
  <c r="T475"/>
  <c r="S475"/>
  <c r="T474"/>
  <c r="S474"/>
  <c r="T473"/>
  <c r="S473"/>
  <c r="T472"/>
  <c r="S472"/>
  <c r="T471"/>
  <c r="S471"/>
  <c r="T470"/>
  <c r="S470"/>
  <c r="T469"/>
  <c r="S469"/>
  <c r="T468"/>
  <c r="S468"/>
  <c r="T467"/>
  <c r="S467"/>
  <c r="T466"/>
  <c r="S466"/>
  <c r="T465"/>
  <c r="S465"/>
  <c r="T464"/>
  <c r="S464"/>
  <c r="T463"/>
  <c r="S463"/>
  <c r="T462"/>
  <c r="S462"/>
  <c r="T461"/>
  <c r="S461"/>
  <c r="T460"/>
  <c r="S460"/>
  <c r="T459"/>
  <c r="S459"/>
  <c r="T458"/>
  <c r="S458"/>
  <c r="T457"/>
  <c r="S457"/>
  <c r="T456"/>
  <c r="S456"/>
  <c r="T455"/>
  <c r="S455"/>
  <c r="T454"/>
  <c r="S454"/>
  <c r="T453"/>
  <c r="S453"/>
  <c r="T452"/>
  <c r="S452"/>
  <c r="T451"/>
  <c r="S451"/>
  <c r="T450"/>
  <c r="S450"/>
  <c r="T449"/>
  <c r="S449"/>
  <c r="T448"/>
  <c r="S448"/>
  <c r="T447"/>
  <c r="S447"/>
  <c r="T446"/>
  <c r="S446"/>
  <c r="T445"/>
  <c r="S445"/>
  <c r="T444"/>
  <c r="S444"/>
  <c r="T443"/>
  <c r="S443"/>
  <c r="T442"/>
  <c r="S442"/>
  <c r="T441"/>
  <c r="S441"/>
  <c r="T440"/>
  <c r="S440"/>
  <c r="T439"/>
  <c r="S439"/>
  <c r="T438"/>
  <c r="S438"/>
  <c r="T437"/>
  <c r="S437"/>
  <c r="T436"/>
  <c r="S436"/>
  <c r="T435"/>
  <c r="S435"/>
  <c r="T434"/>
  <c r="S434"/>
  <c r="T433"/>
  <c r="S433"/>
  <c r="T432"/>
  <c r="S432"/>
  <c r="T431"/>
  <c r="S431"/>
  <c r="T430"/>
  <c r="S430"/>
  <c r="T429"/>
  <c r="S429"/>
  <c r="T428"/>
  <c r="S428"/>
  <c r="T427"/>
  <c r="S427"/>
  <c r="T426"/>
  <c r="S426"/>
  <c r="T425"/>
  <c r="S425"/>
  <c r="T424"/>
  <c r="S424"/>
  <c r="T423"/>
  <c r="S423"/>
  <c r="T422"/>
  <c r="S422"/>
  <c r="T421"/>
  <c r="S421"/>
  <c r="T420"/>
  <c r="S420"/>
  <c r="T419"/>
  <c r="S419"/>
  <c r="T418"/>
  <c r="S418"/>
  <c r="T417"/>
  <c r="S417"/>
  <c r="T416"/>
  <c r="S416"/>
  <c r="T415"/>
  <c r="S415"/>
  <c r="T414"/>
  <c r="S414"/>
  <c r="T413"/>
  <c r="S413"/>
  <c r="T412"/>
  <c r="S412"/>
  <c r="T411"/>
  <c r="S411"/>
  <c r="T410"/>
  <c r="S410"/>
  <c r="T409"/>
  <c r="S409"/>
  <c r="T408"/>
  <c r="S408"/>
  <c r="T407"/>
  <c r="S407"/>
  <c r="T406"/>
  <c r="S406"/>
  <c r="T405"/>
  <c r="S405"/>
  <c r="T404"/>
  <c r="S404"/>
  <c r="T403"/>
  <c r="S403"/>
  <c r="T402"/>
  <c r="S402"/>
  <c r="T401"/>
  <c r="S401"/>
  <c r="T400"/>
  <c r="S400"/>
  <c r="T399"/>
  <c r="S399"/>
  <c r="T398"/>
  <c r="S398"/>
  <c r="T397"/>
  <c r="S397"/>
  <c r="T396"/>
  <c r="S396"/>
  <c r="T395"/>
  <c r="S395"/>
  <c r="T394"/>
  <c r="S394"/>
  <c r="T393"/>
  <c r="S393"/>
  <c r="T392"/>
  <c r="S392"/>
  <c r="T391"/>
  <c r="S391"/>
  <c r="T390"/>
  <c r="S390"/>
  <c r="T389"/>
  <c r="S389"/>
  <c r="T388"/>
  <c r="S388"/>
  <c r="T387"/>
  <c r="S387"/>
  <c r="T386"/>
  <c r="S386"/>
  <c r="T385"/>
  <c r="S385"/>
  <c r="T384"/>
  <c r="S384"/>
  <c r="T383"/>
  <c r="S383"/>
  <c r="T382"/>
  <c r="S382"/>
  <c r="T381"/>
  <c r="S381"/>
  <c r="T380"/>
  <c r="S380"/>
  <c r="T379"/>
  <c r="S379"/>
  <c r="T378"/>
  <c r="S378"/>
  <c r="T377"/>
  <c r="S377"/>
  <c r="T376"/>
  <c r="S376"/>
  <c r="T375"/>
  <c r="S375"/>
  <c r="T374"/>
  <c r="S374"/>
  <c r="T373"/>
  <c r="S373"/>
  <c r="T372"/>
  <c r="S372"/>
  <c r="T371"/>
  <c r="S371"/>
  <c r="T370"/>
  <c r="S370"/>
  <c r="T369"/>
  <c r="S369"/>
  <c r="T368"/>
  <c r="S368"/>
  <c r="T367"/>
  <c r="S367"/>
  <c r="T366"/>
  <c r="S366"/>
  <c r="T365"/>
  <c r="S365"/>
  <c r="T364"/>
  <c r="S364"/>
  <c r="T363"/>
  <c r="S363"/>
  <c r="T362"/>
  <c r="S362"/>
  <c r="T361"/>
  <c r="S361"/>
  <c r="T360"/>
  <c r="S360"/>
  <c r="T359"/>
  <c r="S359"/>
  <c r="T358"/>
  <c r="S358"/>
  <c r="T357"/>
  <c r="S357"/>
  <c r="T356"/>
  <c r="S356"/>
  <c r="T355"/>
  <c r="S355"/>
  <c r="T354"/>
  <c r="S354"/>
  <c r="T353"/>
  <c r="S353"/>
  <c r="T352"/>
  <c r="S352"/>
  <c r="T351"/>
  <c r="S351"/>
  <c r="T350"/>
  <c r="S350"/>
  <c r="T349"/>
  <c r="S349"/>
  <c r="T348"/>
  <c r="S348"/>
  <c r="T347"/>
  <c r="S347"/>
  <c r="T346"/>
  <c r="S346"/>
  <c r="T345"/>
  <c r="S345"/>
  <c r="T344"/>
  <c r="S344"/>
  <c r="T343"/>
  <c r="S343"/>
  <c r="T342"/>
  <c r="S342"/>
  <c r="T341"/>
  <c r="S341"/>
  <c r="T340"/>
  <c r="S340"/>
  <c r="T339"/>
  <c r="S339"/>
  <c r="T338"/>
  <c r="S338"/>
  <c r="T337"/>
  <c r="S337"/>
  <c r="T336"/>
  <c r="S336"/>
  <c r="T335"/>
  <c r="S335"/>
  <c r="T334"/>
  <c r="S334"/>
  <c r="T333"/>
  <c r="S333"/>
  <c r="T332"/>
  <c r="S332"/>
  <c r="T331"/>
  <c r="S331"/>
  <c r="T330"/>
  <c r="S330"/>
  <c r="T329"/>
  <c r="S329"/>
  <c r="T328"/>
  <c r="S328"/>
  <c r="T327"/>
  <c r="S327"/>
  <c r="T326"/>
  <c r="S326"/>
  <c r="T325"/>
  <c r="S325"/>
  <c r="T324"/>
  <c r="S324"/>
  <c r="T323"/>
  <c r="S323"/>
  <c r="T322"/>
  <c r="S322"/>
  <c r="T321"/>
  <c r="S321"/>
  <c r="T320"/>
  <c r="S320"/>
  <c r="T319"/>
  <c r="S319"/>
  <c r="T318"/>
  <c r="S318"/>
  <c r="T317"/>
  <c r="S317"/>
  <c r="T316"/>
  <c r="S316"/>
  <c r="T315"/>
  <c r="S315"/>
  <c r="T314"/>
  <c r="S314"/>
  <c r="T313"/>
  <c r="S313"/>
  <c r="T312"/>
  <c r="S312"/>
  <c r="T311"/>
  <c r="S311"/>
  <c r="T310"/>
  <c r="S310"/>
  <c r="T309"/>
  <c r="S309"/>
  <c r="T308"/>
  <c r="S308"/>
  <c r="T307"/>
  <c r="S307"/>
  <c r="T306"/>
  <c r="S306"/>
  <c r="T305"/>
  <c r="S305"/>
  <c r="T304"/>
  <c r="S304"/>
  <c r="T303"/>
  <c r="S303"/>
  <c r="T302"/>
  <c r="S302"/>
  <c r="T301"/>
  <c r="S301"/>
  <c r="T300"/>
  <c r="S300"/>
  <c r="T299"/>
  <c r="S299"/>
  <c r="T298"/>
  <c r="S298"/>
  <c r="T297"/>
  <c r="S297"/>
  <c r="T296"/>
  <c r="S296"/>
  <c r="T295"/>
  <c r="S295"/>
  <c r="T294"/>
  <c r="S294"/>
  <c r="T293"/>
  <c r="S293"/>
  <c r="T292"/>
  <c r="S292"/>
  <c r="T291"/>
  <c r="S291"/>
  <c r="T290"/>
  <c r="S290"/>
  <c r="T289"/>
  <c r="S289"/>
  <c r="T288"/>
  <c r="S288"/>
  <c r="T287"/>
  <c r="S287"/>
  <c r="T286"/>
  <c r="S286"/>
  <c r="T285"/>
  <c r="S285"/>
  <c r="T284"/>
  <c r="S284"/>
  <c r="T283"/>
  <c r="S283"/>
  <c r="T282"/>
  <c r="S282"/>
  <c r="T281"/>
  <c r="S281"/>
  <c r="T280"/>
  <c r="S280"/>
  <c r="T279"/>
  <c r="S279"/>
  <c r="T278"/>
  <c r="S278"/>
  <c r="T277"/>
  <c r="S277"/>
  <c r="T276"/>
  <c r="S276"/>
  <c r="T275"/>
  <c r="S275"/>
  <c r="T274"/>
  <c r="S274"/>
  <c r="T273"/>
  <c r="S273"/>
  <c r="T272"/>
  <c r="S272"/>
  <c r="T271"/>
  <c r="S271"/>
  <c r="T270"/>
  <c r="S270"/>
  <c r="T269"/>
  <c r="S269"/>
  <c r="T268"/>
  <c r="S268"/>
  <c r="T267"/>
  <c r="S267"/>
  <c r="T266"/>
  <c r="S266"/>
  <c r="T265"/>
  <c r="S265"/>
  <c r="T264"/>
  <c r="S264"/>
  <c r="T263"/>
  <c r="S263"/>
  <c r="T262"/>
  <c r="S262"/>
  <c r="T261"/>
  <c r="S261"/>
  <c r="T260"/>
  <c r="S260"/>
  <c r="T259"/>
  <c r="S259"/>
  <c r="T258"/>
  <c r="S258"/>
  <c r="T257"/>
  <c r="S257"/>
  <c r="T256"/>
  <c r="S256"/>
  <c r="T255"/>
  <c r="S255"/>
  <c r="T254"/>
  <c r="S254"/>
  <c r="T253"/>
  <c r="S253"/>
  <c r="T252"/>
  <c r="S252"/>
  <c r="T251"/>
  <c r="S251"/>
  <c r="T250"/>
  <c r="S250"/>
  <c r="T249"/>
  <c r="S249"/>
  <c r="T248"/>
  <c r="S248"/>
  <c r="T247"/>
  <c r="S247"/>
  <c r="T246"/>
  <c r="S246"/>
  <c r="T245"/>
  <c r="S245"/>
  <c r="T244"/>
  <c r="S244"/>
  <c r="T243"/>
  <c r="S243"/>
  <c r="T242"/>
  <c r="S242"/>
  <c r="T241"/>
  <c r="S241"/>
  <c r="T240"/>
  <c r="S240"/>
  <c r="T239"/>
  <c r="S239"/>
  <c r="T238"/>
  <c r="S238"/>
  <c r="T237"/>
  <c r="S237"/>
  <c r="T236"/>
  <c r="S236"/>
  <c r="T235"/>
  <c r="S235"/>
  <c r="T234"/>
  <c r="S234"/>
  <c r="T233"/>
  <c r="S233"/>
  <c r="T232"/>
  <c r="S232"/>
  <c r="T231"/>
  <c r="S231"/>
  <c r="T230"/>
  <c r="S230"/>
  <c r="T229"/>
  <c r="S229"/>
  <c r="T228"/>
  <c r="S228"/>
  <c r="T227"/>
  <c r="S227"/>
  <c r="T226"/>
  <c r="S226"/>
  <c r="T225"/>
  <c r="S225"/>
  <c r="T224"/>
  <c r="S224"/>
  <c r="T223"/>
  <c r="S223"/>
  <c r="T222"/>
  <c r="S222"/>
  <c r="T221"/>
  <c r="S221"/>
  <c r="T220"/>
  <c r="S220"/>
  <c r="T219"/>
  <c r="S219"/>
  <c r="T218"/>
  <c r="S218"/>
  <c r="T217"/>
  <c r="S217"/>
  <c r="T216"/>
  <c r="S216"/>
  <c r="T215"/>
  <c r="S215"/>
  <c r="T214"/>
  <c r="S214"/>
  <c r="T213"/>
  <c r="S213"/>
  <c r="T212"/>
  <c r="S212"/>
  <c r="T211"/>
  <c r="S211"/>
  <c r="T210"/>
  <c r="S210"/>
  <c r="T209"/>
  <c r="S209"/>
  <c r="T208"/>
  <c r="S208"/>
  <c r="T207"/>
  <c r="S207"/>
  <c r="T206"/>
  <c r="S206"/>
  <c r="T205"/>
  <c r="S205"/>
  <c r="T204"/>
  <c r="S204"/>
  <c r="T203"/>
  <c r="S203"/>
  <c r="T202"/>
  <c r="S202"/>
  <c r="T201"/>
  <c r="S201"/>
  <c r="T200"/>
  <c r="S200"/>
  <c r="T199"/>
  <c r="S199"/>
  <c r="T198"/>
  <c r="S198"/>
  <c r="T197"/>
  <c r="S197"/>
  <c r="T196"/>
  <c r="S196"/>
  <c r="T195"/>
  <c r="S195"/>
  <c r="T194"/>
  <c r="S194"/>
  <c r="T193"/>
  <c r="S193"/>
  <c r="T192"/>
  <c r="S192"/>
  <c r="T191"/>
  <c r="S191"/>
  <c r="T190"/>
  <c r="S190"/>
  <c r="T189"/>
  <c r="S189"/>
  <c r="T188"/>
  <c r="S188"/>
  <c r="T187"/>
  <c r="S187"/>
  <c r="T186"/>
  <c r="S186"/>
  <c r="T185"/>
  <c r="S185"/>
  <c r="T184"/>
  <c r="S184"/>
  <c r="T183"/>
  <c r="S183"/>
  <c r="T182"/>
  <c r="S182"/>
  <c r="T181"/>
  <c r="S181"/>
  <c r="T180"/>
  <c r="S180"/>
  <c r="T179"/>
  <c r="S179"/>
  <c r="T178"/>
  <c r="S178"/>
  <c r="T177"/>
  <c r="S177"/>
  <c r="T176"/>
  <c r="S176"/>
  <c r="T175"/>
  <c r="S175"/>
  <c r="T174"/>
  <c r="S174"/>
  <c r="T173"/>
  <c r="S173"/>
  <c r="T172"/>
  <c r="S172"/>
  <c r="T171"/>
  <c r="S171"/>
  <c r="T170"/>
  <c r="S170"/>
  <c r="T169"/>
  <c r="S169"/>
  <c r="T168"/>
  <c r="S168"/>
  <c r="T167"/>
  <c r="S167"/>
  <c r="T166"/>
  <c r="S166"/>
  <c r="T165"/>
  <c r="S165"/>
  <c r="T164"/>
  <c r="S164"/>
  <c r="T163"/>
  <c r="S163"/>
  <c r="T162"/>
  <c r="S162"/>
  <c r="T161"/>
  <c r="S161"/>
  <c r="T160"/>
  <c r="S160"/>
  <c r="T159"/>
  <c r="S159"/>
  <c r="T158"/>
  <c r="S158"/>
  <c r="T157"/>
  <c r="S157"/>
  <c r="T156"/>
  <c r="S156"/>
  <c r="T155"/>
  <c r="S155"/>
  <c r="T154"/>
  <c r="S154"/>
  <c r="T153"/>
  <c r="S153"/>
  <c r="T152"/>
  <c r="S152"/>
  <c r="T151"/>
  <c r="S151"/>
  <c r="T150"/>
  <c r="S150"/>
  <c r="T149"/>
  <c r="S149"/>
  <c r="T148"/>
  <c r="S148"/>
  <c r="T147"/>
  <c r="S147"/>
  <c r="T146"/>
  <c r="S146"/>
  <c r="T145"/>
  <c r="S145"/>
  <c r="T144"/>
  <c r="S144"/>
  <c r="T143"/>
  <c r="S143"/>
  <c r="T142"/>
  <c r="S142"/>
  <c r="T141"/>
  <c r="S141"/>
  <c r="T140"/>
  <c r="S140"/>
  <c r="T139"/>
  <c r="S139"/>
  <c r="T138"/>
  <c r="S138"/>
  <c r="T137"/>
  <c r="S137"/>
  <c r="T136"/>
  <c r="S136"/>
  <c r="T135"/>
  <c r="S135"/>
  <c r="T134"/>
  <c r="S134"/>
  <c r="T133"/>
  <c r="S133"/>
  <c r="T132"/>
  <c r="S132"/>
  <c r="T131"/>
  <c r="S131"/>
  <c r="T130"/>
  <c r="S130"/>
  <c r="T129"/>
  <c r="S129"/>
  <c r="T128"/>
  <c r="S128"/>
  <c r="T127"/>
  <c r="S127"/>
  <c r="T126"/>
  <c r="S126"/>
  <c r="T125"/>
  <c r="S125"/>
  <c r="T124"/>
  <c r="S124"/>
  <c r="T123"/>
  <c r="S123"/>
  <c r="T122"/>
  <c r="S122"/>
  <c r="T121"/>
  <c r="S121"/>
  <c r="T120"/>
  <c r="S120"/>
  <c r="T119"/>
  <c r="S119"/>
  <c r="T118"/>
  <c r="S118"/>
  <c r="T117"/>
  <c r="S117"/>
  <c r="T116"/>
  <c r="S116"/>
  <c r="T115"/>
  <c r="S115"/>
  <c r="T114"/>
  <c r="S114"/>
  <c r="T113"/>
  <c r="S113"/>
  <c r="T112"/>
  <c r="S112"/>
  <c r="T111"/>
  <c r="S111"/>
  <c r="T110"/>
  <c r="S110"/>
  <c r="T109"/>
  <c r="S109"/>
  <c r="T108"/>
  <c r="S108"/>
  <c r="T107"/>
  <c r="S107"/>
  <c r="T106"/>
  <c r="S106"/>
  <c r="T105"/>
  <c r="S105"/>
  <c r="T104"/>
  <c r="S104"/>
  <c r="T103"/>
  <c r="S103"/>
  <c r="T102"/>
  <c r="S102"/>
  <c r="T101"/>
  <c r="S101"/>
  <c r="T100"/>
  <c r="S100"/>
  <c r="T99"/>
  <c r="S99"/>
  <c r="T98"/>
  <c r="S98"/>
  <c r="T97"/>
  <c r="S97"/>
  <c r="T96"/>
  <c r="S96"/>
  <c r="T95"/>
  <c r="S95"/>
  <c r="T94"/>
  <c r="S94"/>
  <c r="T93"/>
  <c r="S93"/>
  <c r="T92"/>
  <c r="S92"/>
  <c r="T91"/>
  <c r="S91"/>
  <c r="T90"/>
  <c r="S90"/>
  <c r="T89"/>
  <c r="S89"/>
  <c r="T88"/>
  <c r="S88"/>
  <c r="T87"/>
  <c r="S87"/>
  <c r="T86"/>
  <c r="S86"/>
  <c r="T85"/>
  <c r="S85"/>
  <c r="T84"/>
  <c r="S84"/>
  <c r="T83"/>
  <c r="S83"/>
  <c r="T82"/>
  <c r="S82"/>
  <c r="T81"/>
  <c r="S81"/>
  <c r="T80"/>
  <c r="S80"/>
  <c r="T79"/>
  <c r="S79"/>
  <c r="T78"/>
  <c r="S78"/>
  <c r="T77"/>
  <c r="S77"/>
  <c r="T76"/>
  <c r="S76"/>
  <c r="T75"/>
  <c r="S75"/>
  <c r="T74"/>
  <c r="S74"/>
  <c r="T73"/>
  <c r="S73"/>
  <c r="T72"/>
  <c r="S72"/>
  <c r="T71"/>
  <c r="S71"/>
  <c r="T70"/>
  <c r="S70"/>
  <c r="T69"/>
  <c r="S69"/>
  <c r="T68"/>
  <c r="S68"/>
  <c r="T67"/>
  <c r="S67"/>
  <c r="T66"/>
  <c r="S66"/>
  <c r="T65"/>
  <c r="S65"/>
  <c r="T64"/>
  <c r="S64"/>
  <c r="T63"/>
  <c r="S63"/>
  <c r="T62"/>
  <c r="S62"/>
  <c r="T61"/>
  <c r="S61"/>
  <c r="T60"/>
  <c r="S60"/>
  <c r="T59"/>
  <c r="S59"/>
  <c r="T58"/>
  <c r="S58"/>
  <c r="T57"/>
  <c r="S57"/>
  <c r="T56"/>
  <c r="S56"/>
  <c r="T55"/>
  <c r="S55"/>
  <c r="T54"/>
  <c r="S54"/>
  <c r="T53"/>
  <c r="S53"/>
  <c r="T52"/>
  <c r="S52"/>
  <c r="T51"/>
  <c r="S51"/>
  <c r="T50"/>
  <c r="S50"/>
  <c r="T49"/>
  <c r="S49"/>
  <c r="T48"/>
  <c r="S48"/>
  <c r="T47"/>
  <c r="S47"/>
  <c r="T46"/>
  <c r="S46"/>
  <c r="T45"/>
  <c r="S45"/>
  <c r="T44"/>
  <c r="S44"/>
  <c r="T43"/>
  <c r="S43"/>
  <c r="T42"/>
  <c r="S42"/>
  <c r="T41"/>
  <c r="S41"/>
  <c r="T40"/>
  <c r="S40"/>
  <c r="T39"/>
  <c r="S39"/>
  <c r="T38"/>
  <c r="S38"/>
  <c r="T37"/>
  <c r="S37"/>
  <c r="T36"/>
  <c r="S36"/>
  <c r="T35"/>
  <c r="S35"/>
  <c r="T34"/>
  <c r="S34"/>
  <c r="T33"/>
  <c r="S33"/>
  <c r="T32"/>
  <c r="S32"/>
  <c r="T31"/>
  <c r="S31"/>
  <c r="T30"/>
  <c r="S30"/>
  <c r="T29"/>
  <c r="S29"/>
  <c r="T28"/>
  <c r="S28"/>
  <c r="T27"/>
  <c r="S27"/>
  <c r="T26"/>
  <c r="S26"/>
  <c r="T25"/>
  <c r="S25"/>
  <c r="T24"/>
  <c r="S24"/>
  <c r="T23"/>
  <c r="S23"/>
  <c r="T22"/>
  <c r="S22"/>
  <c r="T21"/>
  <c r="S21"/>
  <c r="T20"/>
  <c r="S20"/>
  <c r="T19"/>
  <c r="S19"/>
  <c r="T18"/>
  <c r="S18"/>
  <c r="T17"/>
  <c r="S17"/>
  <c r="T16"/>
  <c r="S16"/>
  <c r="T15"/>
  <c r="S15"/>
  <c r="T14"/>
  <c r="S14"/>
  <c r="T13"/>
  <c r="S13"/>
  <c r="T12"/>
  <c r="S12"/>
  <c r="T11"/>
  <c r="S11"/>
  <c r="T10"/>
  <c r="S10"/>
  <c r="T9"/>
  <c r="S9"/>
  <c r="T8"/>
  <c r="S8"/>
  <c r="T7"/>
  <c r="S7"/>
  <c r="T6"/>
  <c r="S6"/>
  <c r="F635"/>
  <c r="E635"/>
  <c r="F634"/>
  <c r="E634"/>
  <c r="F633"/>
  <c r="E633"/>
  <c r="F632"/>
  <c r="E632"/>
  <c r="F631"/>
  <c r="E631"/>
  <c r="F630"/>
  <c r="E630"/>
  <c r="F629"/>
  <c r="E629"/>
  <c r="F628"/>
  <c r="E628"/>
  <c r="F627"/>
  <c r="E627"/>
  <c r="F626"/>
  <c r="E626"/>
  <c r="F625"/>
  <c r="E625"/>
  <c r="F624"/>
  <c r="E624"/>
  <c r="F623"/>
  <c r="E623"/>
  <c r="F622"/>
  <c r="E622"/>
  <c r="F621"/>
  <c r="E621"/>
  <c r="F620"/>
  <c r="E620"/>
  <c r="F619"/>
  <c r="E619"/>
  <c r="F618"/>
  <c r="E618"/>
  <c r="F617"/>
  <c r="E617"/>
  <c r="F616"/>
  <c r="E616"/>
  <c r="F615"/>
  <c r="E615"/>
  <c r="F614"/>
  <c r="E614"/>
  <c r="F613"/>
  <c r="E613"/>
  <c r="F612"/>
  <c r="E612"/>
  <c r="F611"/>
  <c r="E611"/>
  <c r="F610"/>
  <c r="E610"/>
  <c r="F609"/>
  <c r="E609"/>
  <c r="F608"/>
  <c r="E608"/>
  <c r="F607"/>
  <c r="E607"/>
  <c r="F606"/>
  <c r="E606"/>
  <c r="F605"/>
  <c r="E605"/>
  <c r="F604"/>
  <c r="E604"/>
  <c r="F603"/>
  <c r="E603"/>
  <c r="F602"/>
  <c r="E602"/>
  <c r="F601"/>
  <c r="E601"/>
  <c r="F600"/>
  <c r="E600"/>
  <c r="F599"/>
  <c r="E599"/>
  <c r="F598"/>
  <c r="E598"/>
  <c r="F597"/>
  <c r="E597"/>
  <c r="F596"/>
  <c r="E596"/>
  <c r="F595"/>
  <c r="E595"/>
  <c r="F594"/>
  <c r="E594"/>
  <c r="F593"/>
  <c r="E593"/>
  <c r="F592"/>
  <c r="E592"/>
  <c r="F591"/>
  <c r="E591"/>
  <c r="F590"/>
  <c r="E590"/>
  <c r="F589"/>
  <c r="E589"/>
  <c r="F588"/>
  <c r="E588"/>
  <c r="F587"/>
  <c r="E587"/>
  <c r="F586"/>
  <c r="E586"/>
  <c r="F585"/>
  <c r="E585"/>
  <c r="F584"/>
  <c r="E584"/>
  <c r="F583"/>
  <c r="E583"/>
  <c r="F582"/>
  <c r="E582"/>
  <c r="F581"/>
  <c r="E581"/>
  <c r="F580"/>
  <c r="E580"/>
  <c r="F579"/>
  <c r="E579"/>
  <c r="F578"/>
  <c r="E578"/>
  <c r="F577"/>
  <c r="E577"/>
  <c r="F576"/>
  <c r="E576"/>
  <c r="F575"/>
  <c r="E575"/>
  <c r="F574"/>
  <c r="E574"/>
  <c r="F573"/>
  <c r="E573"/>
  <c r="F572"/>
  <c r="E572"/>
  <c r="F571"/>
  <c r="E571"/>
  <c r="F570"/>
  <c r="E570"/>
  <c r="F569"/>
  <c r="E569"/>
  <c r="F568"/>
  <c r="E568"/>
  <c r="F567"/>
  <c r="E567"/>
  <c r="F566"/>
  <c r="E566"/>
  <c r="F565"/>
  <c r="E565"/>
  <c r="F564"/>
  <c r="E564"/>
  <c r="F563"/>
  <c r="E563"/>
  <c r="F562"/>
  <c r="E562"/>
  <c r="F561"/>
  <c r="E561"/>
  <c r="F560"/>
  <c r="E560"/>
  <c r="F559"/>
  <c r="E559"/>
  <c r="F558"/>
  <c r="E558"/>
  <c r="F557"/>
  <c r="E557"/>
  <c r="F556"/>
  <c r="E556"/>
  <c r="F555"/>
  <c r="E555"/>
  <c r="F554"/>
  <c r="E554"/>
  <c r="F553"/>
  <c r="E553"/>
  <c r="F552"/>
  <c r="E552"/>
  <c r="F551"/>
  <c r="E551"/>
  <c r="F550"/>
  <c r="E550"/>
  <c r="F549"/>
  <c r="E549"/>
  <c r="F548"/>
  <c r="E548"/>
  <c r="F547"/>
  <c r="E547"/>
  <c r="F546"/>
  <c r="E546"/>
  <c r="F545"/>
  <c r="E545"/>
  <c r="F544"/>
  <c r="E544"/>
  <c r="F543"/>
  <c r="E543"/>
  <c r="F542"/>
  <c r="E542"/>
  <c r="F541"/>
  <c r="E541"/>
  <c r="F540"/>
  <c r="E540"/>
  <c r="F539"/>
  <c r="E539"/>
  <c r="F538"/>
  <c r="E538"/>
  <c r="F537"/>
  <c r="E537"/>
  <c r="F536"/>
  <c r="E536"/>
  <c r="F535"/>
  <c r="E535"/>
  <c r="F534"/>
  <c r="E534"/>
  <c r="F533"/>
  <c r="E533"/>
  <c r="F532"/>
  <c r="E532"/>
  <c r="F531"/>
  <c r="E531"/>
  <c r="F530"/>
  <c r="E530"/>
  <c r="F529"/>
  <c r="E529"/>
  <c r="F528"/>
  <c r="E528"/>
  <c r="F527"/>
  <c r="E527"/>
  <c r="F526"/>
  <c r="E526"/>
  <c r="F525"/>
  <c r="E525"/>
  <c r="F524"/>
  <c r="E524"/>
  <c r="F523"/>
  <c r="E523"/>
  <c r="F522"/>
  <c r="E522"/>
  <c r="F521"/>
  <c r="E521"/>
  <c r="F520"/>
  <c r="E520"/>
  <c r="F519"/>
  <c r="E519"/>
  <c r="F518"/>
  <c r="E518"/>
  <c r="F517"/>
  <c r="E517"/>
  <c r="F516"/>
  <c r="E516"/>
  <c r="F515"/>
  <c r="E515"/>
  <c r="F514"/>
  <c r="E514"/>
  <c r="F513"/>
  <c r="E513"/>
  <c r="F512"/>
  <c r="E512"/>
  <c r="F511"/>
  <c r="E511"/>
  <c r="F510"/>
  <c r="E510"/>
  <c r="F509"/>
  <c r="E509"/>
  <c r="F508"/>
  <c r="E508"/>
  <c r="F507"/>
  <c r="E507"/>
  <c r="F506"/>
  <c r="E506"/>
  <c r="F505"/>
  <c r="E505"/>
  <c r="F504"/>
  <c r="E504"/>
  <c r="F503"/>
  <c r="E503"/>
  <c r="F502"/>
  <c r="E502"/>
  <c r="F501"/>
  <c r="E501"/>
  <c r="F500"/>
  <c r="E500"/>
  <c r="F499"/>
  <c r="E499"/>
  <c r="F498"/>
  <c r="E498"/>
  <c r="F497"/>
  <c r="E497"/>
  <c r="F496"/>
  <c r="E496"/>
  <c r="F495"/>
  <c r="E495"/>
  <c r="F494"/>
  <c r="E494"/>
  <c r="F493"/>
  <c r="E493"/>
  <c r="F492"/>
  <c r="E492"/>
  <c r="F491"/>
  <c r="E491"/>
  <c r="F490"/>
  <c r="E490"/>
  <c r="F489"/>
  <c r="E489"/>
  <c r="F488"/>
  <c r="E488"/>
  <c r="F487"/>
  <c r="E487"/>
  <c r="F486"/>
  <c r="E486"/>
  <c r="F485"/>
  <c r="E485"/>
  <c r="F484"/>
  <c r="E484"/>
  <c r="F483"/>
  <c r="E483"/>
  <c r="F482"/>
  <c r="E482"/>
  <c r="F481"/>
  <c r="E481"/>
  <c r="F480"/>
  <c r="E480"/>
  <c r="F479"/>
  <c r="E479"/>
  <c r="F478"/>
  <c r="E478"/>
  <c r="F477"/>
  <c r="E477"/>
  <c r="F476"/>
  <c r="E476"/>
  <c r="F475"/>
  <c r="E475"/>
  <c r="F474"/>
  <c r="E474"/>
  <c r="F473"/>
  <c r="E473"/>
  <c r="F472"/>
  <c r="E472"/>
  <c r="F471"/>
  <c r="E471"/>
  <c r="F470"/>
  <c r="E470"/>
  <c r="F469"/>
  <c r="E469"/>
  <c r="F468"/>
  <c r="E468"/>
  <c r="F467"/>
  <c r="E467"/>
  <c r="F466"/>
  <c r="E466"/>
  <c r="F465"/>
  <c r="E465"/>
  <c r="F464"/>
  <c r="E464"/>
  <c r="F463"/>
  <c r="E463"/>
  <c r="F462"/>
  <c r="E462"/>
  <c r="F461"/>
  <c r="E461"/>
  <c r="F460"/>
  <c r="E460"/>
  <c r="F459"/>
  <c r="E459"/>
  <c r="F458"/>
  <c r="E458"/>
  <c r="F457"/>
  <c r="E457"/>
  <c r="F456"/>
  <c r="E456"/>
  <c r="F455"/>
  <c r="E455"/>
  <c r="F454"/>
  <c r="E454"/>
  <c r="F453"/>
  <c r="E453"/>
  <c r="F452"/>
  <c r="E452"/>
  <c r="F451"/>
  <c r="E451"/>
  <c r="F450"/>
  <c r="E450"/>
  <c r="F449"/>
  <c r="E449"/>
  <c r="F448"/>
  <c r="E448"/>
  <c r="F447"/>
  <c r="E447"/>
  <c r="F446"/>
  <c r="E446"/>
  <c r="F445"/>
  <c r="E445"/>
  <c r="F444"/>
  <c r="E444"/>
  <c r="F443"/>
  <c r="E443"/>
  <c r="F442"/>
  <c r="E442"/>
  <c r="F441"/>
  <c r="E441"/>
  <c r="F440"/>
  <c r="E440"/>
  <c r="F439"/>
  <c r="E439"/>
  <c r="F438"/>
  <c r="E438"/>
  <c r="F437"/>
  <c r="E437"/>
  <c r="F436"/>
  <c r="E436"/>
  <c r="F435"/>
  <c r="E435"/>
  <c r="F434"/>
  <c r="E434"/>
  <c r="F433"/>
  <c r="E433"/>
  <c r="F432"/>
  <c r="E432"/>
  <c r="F431"/>
  <c r="E431"/>
  <c r="F430"/>
  <c r="E430"/>
  <c r="F429"/>
  <c r="E429"/>
  <c r="F428"/>
  <c r="E428"/>
  <c r="F427"/>
  <c r="E427"/>
  <c r="F426"/>
  <c r="E426"/>
  <c r="F425"/>
  <c r="E425"/>
  <c r="F424"/>
  <c r="E424"/>
  <c r="F423"/>
  <c r="E423"/>
  <c r="F422"/>
  <c r="E422"/>
  <c r="F421"/>
  <c r="E421"/>
  <c r="F420"/>
  <c r="E420"/>
  <c r="F419"/>
  <c r="E419"/>
  <c r="F418"/>
  <c r="E418"/>
  <c r="F417"/>
  <c r="E417"/>
  <c r="F416"/>
  <c r="E416"/>
  <c r="F415"/>
  <c r="E415"/>
  <c r="F414"/>
  <c r="E414"/>
  <c r="F413"/>
  <c r="E413"/>
  <c r="F412"/>
  <c r="E412"/>
  <c r="F411"/>
  <c r="E411"/>
  <c r="F410"/>
  <c r="E410"/>
  <c r="F409"/>
  <c r="E409"/>
  <c r="F408"/>
  <c r="E408"/>
  <c r="F407"/>
  <c r="E407"/>
  <c r="F406"/>
  <c r="E406"/>
  <c r="F405"/>
  <c r="E405"/>
  <c r="F404"/>
  <c r="E404"/>
  <c r="F403"/>
  <c r="E403"/>
  <c r="F402"/>
  <c r="E402"/>
  <c r="F401"/>
  <c r="E401"/>
  <c r="F400"/>
  <c r="E400"/>
  <c r="F399"/>
  <c r="E399"/>
  <c r="F398"/>
  <c r="E398"/>
  <c r="F397"/>
  <c r="E397"/>
  <c r="F396"/>
  <c r="E396"/>
  <c r="F395"/>
  <c r="E395"/>
  <c r="F394"/>
  <c r="E394"/>
  <c r="F393"/>
  <c r="E393"/>
  <c r="F392"/>
  <c r="E392"/>
  <c r="F391"/>
  <c r="E391"/>
  <c r="F390"/>
  <c r="E390"/>
  <c r="F389"/>
  <c r="E389"/>
  <c r="F388"/>
  <c r="E388"/>
  <c r="F387"/>
  <c r="E387"/>
  <c r="F386"/>
  <c r="E386"/>
  <c r="F385"/>
  <c r="E385"/>
  <c r="F384"/>
  <c r="E384"/>
  <c r="F383"/>
  <c r="E383"/>
  <c r="F382"/>
  <c r="E382"/>
  <c r="F381"/>
  <c r="E381"/>
  <c r="F380"/>
  <c r="E380"/>
  <c r="F379"/>
  <c r="E379"/>
  <c r="F378"/>
  <c r="E378"/>
  <c r="F377"/>
  <c r="E377"/>
  <c r="F376"/>
  <c r="E376"/>
  <c r="F375"/>
  <c r="E375"/>
  <c r="F374"/>
  <c r="E374"/>
  <c r="F373"/>
  <c r="E373"/>
  <c r="F372"/>
  <c r="E372"/>
  <c r="F371"/>
  <c r="E371"/>
  <c r="F370"/>
  <c r="E370"/>
  <c r="F369"/>
  <c r="E369"/>
  <c r="F368"/>
  <c r="E368"/>
  <c r="F367"/>
  <c r="E367"/>
  <c r="F366"/>
  <c r="E366"/>
  <c r="F365"/>
  <c r="E365"/>
  <c r="F364"/>
  <c r="E364"/>
  <c r="F363"/>
  <c r="E363"/>
  <c r="F362"/>
  <c r="E362"/>
  <c r="F361"/>
  <c r="E361"/>
  <c r="F360"/>
  <c r="E360"/>
  <c r="F359"/>
  <c r="E359"/>
  <c r="F358"/>
  <c r="E358"/>
  <c r="F357"/>
  <c r="E357"/>
  <c r="F356"/>
  <c r="E356"/>
  <c r="F355"/>
  <c r="E355"/>
  <c r="F354"/>
  <c r="E354"/>
  <c r="F353"/>
  <c r="E353"/>
  <c r="F352"/>
  <c r="E352"/>
  <c r="F351"/>
  <c r="E351"/>
  <c r="F350"/>
  <c r="E350"/>
  <c r="F349"/>
  <c r="E349"/>
  <c r="F348"/>
  <c r="E348"/>
  <c r="F347"/>
  <c r="E347"/>
  <c r="F346"/>
  <c r="E346"/>
  <c r="F345"/>
  <c r="E345"/>
  <c r="F344"/>
  <c r="E344"/>
  <c r="F343"/>
  <c r="E343"/>
  <c r="F342"/>
  <c r="E342"/>
  <c r="F341"/>
  <c r="E341"/>
  <c r="F340"/>
  <c r="E340"/>
  <c r="F339"/>
  <c r="E339"/>
  <c r="F338"/>
  <c r="E338"/>
  <c r="F337"/>
  <c r="E337"/>
  <c r="F336"/>
  <c r="E336"/>
  <c r="F335"/>
  <c r="E335"/>
  <c r="F334"/>
  <c r="E334"/>
  <c r="F333"/>
  <c r="E333"/>
  <c r="F332"/>
  <c r="E332"/>
  <c r="F331"/>
  <c r="E331"/>
  <c r="F330"/>
  <c r="E330"/>
  <c r="F329"/>
  <c r="E329"/>
  <c r="F328"/>
  <c r="E328"/>
  <c r="F327"/>
  <c r="E327"/>
  <c r="F326"/>
  <c r="E326"/>
  <c r="F325"/>
  <c r="E325"/>
  <c r="F324"/>
  <c r="E324"/>
  <c r="F323"/>
  <c r="E323"/>
  <c r="F322"/>
  <c r="E322"/>
  <c r="F321"/>
  <c r="E321"/>
  <c r="F320"/>
  <c r="E320"/>
  <c r="F319"/>
  <c r="E319"/>
  <c r="F318"/>
  <c r="E318"/>
  <c r="F317"/>
  <c r="E317"/>
  <c r="F316"/>
  <c r="E316"/>
  <c r="F315"/>
  <c r="E315"/>
  <c r="F314"/>
  <c r="E314"/>
  <c r="F313"/>
  <c r="E313"/>
  <c r="F312"/>
  <c r="E312"/>
  <c r="F311"/>
  <c r="E311"/>
  <c r="F310"/>
  <c r="E310"/>
  <c r="F309"/>
  <c r="E309"/>
  <c r="F308"/>
  <c r="E308"/>
  <c r="F307"/>
  <c r="E307"/>
  <c r="F306"/>
  <c r="E306"/>
  <c r="F305"/>
  <c r="E305"/>
  <c r="F304"/>
  <c r="E304"/>
  <c r="F303"/>
  <c r="E303"/>
  <c r="F302"/>
  <c r="E302"/>
  <c r="F301"/>
  <c r="E301"/>
  <c r="F300"/>
  <c r="E300"/>
  <c r="F299"/>
  <c r="E299"/>
  <c r="F298"/>
  <c r="E298"/>
  <c r="F297"/>
  <c r="E297"/>
  <c r="F296"/>
  <c r="E296"/>
  <c r="F295"/>
  <c r="E295"/>
  <c r="F294"/>
  <c r="E294"/>
  <c r="F293"/>
  <c r="E293"/>
  <c r="F292"/>
  <c r="E292"/>
  <c r="F291"/>
  <c r="E291"/>
  <c r="F290"/>
  <c r="E290"/>
  <c r="F289"/>
  <c r="E289"/>
  <c r="F288"/>
  <c r="E288"/>
  <c r="F287"/>
  <c r="E287"/>
  <c r="F286"/>
  <c r="E286"/>
  <c r="F285"/>
  <c r="E285"/>
  <c r="F284"/>
  <c r="E284"/>
  <c r="F283"/>
  <c r="E283"/>
  <c r="F282"/>
  <c r="E282"/>
  <c r="F281"/>
  <c r="E281"/>
  <c r="F280"/>
  <c r="E280"/>
  <c r="F279"/>
  <c r="E279"/>
  <c r="F278"/>
  <c r="E278"/>
  <c r="F277"/>
  <c r="E277"/>
  <c r="F276"/>
  <c r="E276"/>
  <c r="F275"/>
  <c r="E275"/>
  <c r="F274"/>
  <c r="E274"/>
  <c r="F273"/>
  <c r="E273"/>
  <c r="F272"/>
  <c r="E272"/>
  <c r="F271"/>
  <c r="E271"/>
  <c r="F270"/>
  <c r="E270"/>
  <c r="F269"/>
  <c r="E269"/>
  <c r="F268"/>
  <c r="E268"/>
  <c r="F267"/>
  <c r="E267"/>
  <c r="F266"/>
  <c r="E266"/>
  <c r="F265"/>
  <c r="E265"/>
  <c r="F264"/>
  <c r="E264"/>
  <c r="F263"/>
  <c r="E263"/>
  <c r="F262"/>
  <c r="E262"/>
  <c r="F261"/>
  <c r="E261"/>
  <c r="F260"/>
  <c r="E260"/>
  <c r="F259"/>
  <c r="E259"/>
  <c r="F258"/>
  <c r="E258"/>
  <c r="F257"/>
  <c r="E257"/>
  <c r="F256"/>
  <c r="E256"/>
  <c r="F255"/>
  <c r="E255"/>
  <c r="F254"/>
  <c r="E254"/>
  <c r="F253"/>
  <c r="E253"/>
  <c r="F252"/>
  <c r="E252"/>
  <c r="F251"/>
  <c r="E251"/>
  <c r="F250"/>
  <c r="E250"/>
  <c r="F249"/>
  <c r="E249"/>
  <c r="F248"/>
  <c r="E248"/>
  <c r="F247"/>
  <c r="E247"/>
  <c r="F246"/>
  <c r="E246"/>
  <c r="F245"/>
  <c r="E245"/>
  <c r="F244"/>
  <c r="E244"/>
  <c r="F243"/>
  <c r="E243"/>
  <c r="F242"/>
  <c r="E242"/>
  <c r="F241"/>
  <c r="E241"/>
  <c r="F240"/>
  <c r="E240"/>
  <c r="F239"/>
  <c r="E239"/>
  <c r="F238"/>
  <c r="E238"/>
  <c r="F237"/>
  <c r="E237"/>
  <c r="F236"/>
  <c r="E236"/>
  <c r="F235"/>
  <c r="E235"/>
  <c r="F234"/>
  <c r="E234"/>
  <c r="F233"/>
  <c r="E233"/>
  <c r="F232"/>
  <c r="E232"/>
  <c r="F231"/>
  <c r="E231"/>
  <c r="F230"/>
  <c r="E230"/>
  <c r="F229"/>
  <c r="E229"/>
  <c r="F228"/>
  <c r="E228"/>
  <c r="F227"/>
  <c r="E227"/>
  <c r="F226"/>
  <c r="E226"/>
  <c r="F225"/>
  <c r="E225"/>
  <c r="F224"/>
  <c r="E224"/>
  <c r="F223"/>
  <c r="E223"/>
  <c r="F222"/>
  <c r="E222"/>
  <c r="F221"/>
  <c r="E221"/>
  <c r="F220"/>
  <c r="E220"/>
  <c r="F219"/>
  <c r="E219"/>
  <c r="F218"/>
  <c r="E218"/>
  <c r="F217"/>
  <c r="E217"/>
  <c r="F216"/>
  <c r="E216"/>
  <c r="F215"/>
  <c r="E215"/>
  <c r="F214"/>
  <c r="E214"/>
  <c r="F213"/>
  <c r="E213"/>
  <c r="F212"/>
  <c r="E212"/>
  <c r="F211"/>
  <c r="E211"/>
  <c r="F210"/>
  <c r="E210"/>
  <c r="F209"/>
  <c r="E209"/>
  <c r="F208"/>
  <c r="E208"/>
  <c r="F207"/>
  <c r="E207"/>
  <c r="F206"/>
  <c r="E206"/>
  <c r="F205"/>
  <c r="E205"/>
  <c r="F204"/>
  <c r="E204"/>
  <c r="F203"/>
  <c r="E203"/>
  <c r="F202"/>
  <c r="E202"/>
  <c r="F201"/>
  <c r="E201"/>
  <c r="F200"/>
  <c r="E200"/>
  <c r="F199"/>
  <c r="E199"/>
  <c r="F198"/>
  <c r="E198"/>
  <c r="F197"/>
  <c r="E197"/>
  <c r="F196"/>
  <c r="E196"/>
  <c r="F195"/>
  <c r="E195"/>
  <c r="F194"/>
  <c r="E194"/>
  <c r="F193"/>
  <c r="E193"/>
  <c r="F192"/>
  <c r="E192"/>
  <c r="F191"/>
  <c r="E191"/>
  <c r="F190"/>
  <c r="E190"/>
  <c r="F189"/>
  <c r="E189"/>
  <c r="F188"/>
  <c r="E188"/>
  <c r="F187"/>
  <c r="E187"/>
  <c r="F186"/>
  <c r="E186"/>
  <c r="F185"/>
  <c r="E185"/>
  <c r="F184"/>
  <c r="E184"/>
  <c r="F183"/>
  <c r="E183"/>
  <c r="F182"/>
  <c r="E182"/>
  <c r="F181"/>
  <c r="E181"/>
  <c r="F180"/>
  <c r="E180"/>
  <c r="F179"/>
  <c r="E179"/>
  <c r="F178"/>
  <c r="E178"/>
  <c r="F177"/>
  <c r="E177"/>
  <c r="F176"/>
  <c r="E176"/>
  <c r="F175"/>
  <c r="E175"/>
  <c r="F174"/>
  <c r="E174"/>
  <c r="F173"/>
  <c r="E173"/>
  <c r="F172"/>
  <c r="E172"/>
  <c r="F171"/>
  <c r="E171"/>
  <c r="F170"/>
  <c r="E170"/>
  <c r="F169"/>
  <c r="E169"/>
  <c r="F168"/>
  <c r="E168"/>
  <c r="F167"/>
  <c r="E167"/>
  <c r="F166"/>
  <c r="E166"/>
  <c r="F165"/>
  <c r="E165"/>
  <c r="F164"/>
  <c r="E164"/>
  <c r="F163"/>
  <c r="E163"/>
  <c r="F162"/>
  <c r="E162"/>
  <c r="F161"/>
  <c r="E161"/>
  <c r="F160"/>
  <c r="E160"/>
  <c r="F159"/>
  <c r="E159"/>
  <c r="F158"/>
  <c r="E158"/>
  <c r="F157"/>
  <c r="E157"/>
  <c r="F156"/>
  <c r="E156"/>
  <c r="F155"/>
  <c r="E155"/>
  <c r="F154"/>
  <c r="E154"/>
  <c r="F153"/>
  <c r="E153"/>
  <c r="F152"/>
  <c r="E152"/>
  <c r="F151"/>
  <c r="E151"/>
  <c r="F150"/>
  <c r="E150"/>
  <c r="F149"/>
  <c r="E149"/>
  <c r="F148"/>
  <c r="E148"/>
  <c r="F147"/>
  <c r="E147"/>
  <c r="F146"/>
  <c r="E146"/>
  <c r="F145"/>
  <c r="E145"/>
  <c r="F144"/>
  <c r="E144"/>
  <c r="F143"/>
  <c r="E143"/>
  <c r="F142"/>
  <c r="E142"/>
  <c r="F141"/>
  <c r="E141"/>
  <c r="F140"/>
  <c r="E140"/>
  <c r="F139"/>
  <c r="E139"/>
  <c r="F138"/>
  <c r="E138"/>
  <c r="F137"/>
  <c r="E137"/>
  <c r="F136"/>
  <c r="E136"/>
  <c r="F135"/>
  <c r="E135"/>
  <c r="F134"/>
  <c r="E134"/>
  <c r="F133"/>
  <c r="E133"/>
  <c r="F132"/>
  <c r="E132"/>
  <c r="F131"/>
  <c r="E131"/>
  <c r="F130"/>
  <c r="E130"/>
  <c r="F129"/>
  <c r="E129"/>
  <c r="F128"/>
  <c r="E128"/>
  <c r="F127"/>
  <c r="E127"/>
  <c r="F126"/>
  <c r="E126"/>
  <c r="F125"/>
  <c r="E125"/>
  <c r="F124"/>
  <c r="E124"/>
  <c r="F123"/>
  <c r="E123"/>
  <c r="F122"/>
  <c r="E122"/>
  <c r="F121"/>
  <c r="E121"/>
  <c r="F120"/>
  <c r="E120"/>
  <c r="F119"/>
  <c r="E119"/>
  <c r="F118"/>
  <c r="E118"/>
  <c r="F117"/>
  <c r="E117"/>
  <c r="F116"/>
  <c r="E116"/>
  <c r="F115"/>
  <c r="E115"/>
  <c r="F114"/>
  <c r="E114"/>
  <c r="F113"/>
  <c r="E113"/>
  <c r="F112"/>
  <c r="E112"/>
  <c r="F111"/>
  <c r="E111"/>
  <c r="F110"/>
  <c r="E110"/>
  <c r="F109"/>
  <c r="E109"/>
  <c r="F108"/>
  <c r="E108"/>
  <c r="F107"/>
  <c r="E107"/>
  <c r="F106"/>
  <c r="E106"/>
  <c r="F105"/>
  <c r="E105"/>
  <c r="F104"/>
  <c r="E104"/>
  <c r="F103"/>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F63"/>
  <c r="E63"/>
  <c r="F62"/>
  <c r="E62"/>
  <c r="F61"/>
  <c r="E61"/>
  <c r="F60"/>
  <c r="E60"/>
  <c r="F59"/>
  <c r="E59"/>
  <c r="F58"/>
  <c r="E58"/>
  <c r="F57"/>
  <c r="E57"/>
  <c r="F56"/>
  <c r="E56"/>
  <c r="F55"/>
  <c r="E55"/>
  <c r="F54"/>
  <c r="E54"/>
  <c r="F53"/>
  <c r="E53"/>
  <c r="F52"/>
  <c r="E52"/>
  <c r="F51"/>
  <c r="E51"/>
  <c r="F50"/>
  <c r="E50"/>
  <c r="F49"/>
  <c r="E49"/>
  <c r="F48"/>
  <c r="E48"/>
  <c r="F47"/>
  <c r="E47"/>
  <c r="F46"/>
  <c r="E46"/>
  <c r="F45"/>
  <c r="E45"/>
  <c r="F44"/>
  <c r="E44"/>
  <c r="F43"/>
  <c r="E43"/>
  <c r="F42"/>
  <c r="E42"/>
  <c r="F41"/>
  <c r="E41"/>
  <c r="F40"/>
  <c r="E40"/>
  <c r="F39"/>
  <c r="E39"/>
  <c r="F38"/>
  <c r="E38"/>
  <c r="F37"/>
  <c r="E37"/>
  <c r="F36"/>
  <c r="E36"/>
  <c r="F35"/>
  <c r="E35"/>
  <c r="F34"/>
  <c r="E34"/>
  <c r="F33"/>
  <c r="E33"/>
  <c r="F32"/>
  <c r="E32"/>
  <c r="F31"/>
  <c r="E31"/>
  <c r="F30"/>
  <c r="E30"/>
  <c r="F29"/>
  <c r="E29"/>
  <c r="F28"/>
  <c r="E28"/>
  <c r="F27"/>
  <c r="E27"/>
  <c r="F26"/>
  <c r="E26"/>
  <c r="F25"/>
  <c r="E25"/>
  <c r="F24"/>
  <c r="E24"/>
  <c r="F23"/>
  <c r="E23"/>
  <c r="F22"/>
  <c r="E22"/>
  <c r="F21"/>
  <c r="E21"/>
  <c r="F20"/>
  <c r="E20"/>
  <c r="F19"/>
  <c r="E19"/>
  <c r="F18"/>
  <c r="E18"/>
  <c r="F17"/>
  <c r="E17"/>
  <c r="F16"/>
  <c r="E16"/>
  <c r="F15"/>
  <c r="E15"/>
  <c r="F14"/>
  <c r="E14"/>
  <c r="F13"/>
  <c r="E13"/>
  <c r="F12"/>
  <c r="E12"/>
  <c r="F11"/>
  <c r="E11"/>
  <c r="F10"/>
  <c r="E10"/>
  <c r="F9"/>
  <c r="E9"/>
  <c r="F8"/>
  <c r="E8"/>
  <c r="F7"/>
  <c r="E7"/>
  <c r="F6"/>
  <c r="E6"/>
  <c r="U307"/>
  <c r="G307"/>
  <c r="U76" l="1"/>
  <c r="T5"/>
  <c r="S5"/>
  <c r="F5"/>
  <c r="E5"/>
  <c r="B164" i="9"/>
  <c r="C164"/>
  <c r="E164"/>
  <c r="F164"/>
  <c r="G164"/>
  <c r="H164"/>
  <c r="B103"/>
  <c r="C103"/>
  <c r="E103"/>
  <c r="F103"/>
  <c r="G103"/>
  <c r="H103"/>
  <c r="J17"/>
  <c r="K17"/>
  <c r="M17"/>
  <c r="N17"/>
  <c r="O17"/>
  <c r="P17"/>
  <c r="E9"/>
  <c r="F9"/>
  <c r="G9"/>
  <c r="B10"/>
  <c r="C10"/>
  <c r="E10"/>
  <c r="F10"/>
  <c r="G10"/>
  <c r="H10"/>
  <c r="B9"/>
  <c r="C9"/>
  <c r="H9"/>
  <c r="E232"/>
  <c r="F232"/>
  <c r="G232"/>
  <c r="L633" i="12"/>
  <c r="O631"/>
  <c r="L631"/>
  <c r="O630"/>
  <c r="O629"/>
  <c r="L629"/>
  <c r="O618"/>
  <c r="L618"/>
  <c r="O617"/>
  <c r="L617"/>
  <c r="AC616"/>
  <c r="Z616"/>
  <c r="O616"/>
  <c r="O427"/>
  <c r="N427"/>
  <c r="M427"/>
  <c r="L427"/>
  <c r="K427"/>
  <c r="O424"/>
  <c r="K424"/>
  <c r="O422"/>
  <c r="L422"/>
  <c r="O421"/>
  <c r="L421"/>
  <c r="O420"/>
  <c r="N419"/>
  <c r="M419"/>
  <c r="K419"/>
  <c r="O417"/>
  <c r="N417"/>
  <c r="L417"/>
  <c r="K417"/>
  <c r="O416"/>
  <c r="L416"/>
  <c r="R415"/>
  <c r="Q415"/>
  <c r="AC410"/>
  <c r="Z410"/>
  <c r="P410"/>
  <c r="O410"/>
  <c r="M410"/>
  <c r="L410"/>
  <c r="L409"/>
  <c r="AC408"/>
  <c r="Z408"/>
  <c r="O408"/>
  <c r="L408"/>
  <c r="AD406"/>
  <c r="AC406"/>
  <c r="Z406"/>
  <c r="Y406"/>
  <c r="P406"/>
  <c r="O406"/>
  <c r="M406"/>
  <c r="L406"/>
  <c r="K406"/>
  <c r="AB404"/>
  <c r="Y404"/>
  <c r="N404"/>
  <c r="M404"/>
  <c r="K404"/>
  <c r="AB402"/>
  <c r="Z402"/>
  <c r="Y402"/>
  <c r="N402"/>
  <c r="L402"/>
  <c r="K402"/>
  <c r="AF401"/>
  <c r="AD401"/>
  <c r="AB401"/>
  <c r="R401"/>
  <c r="P401"/>
  <c r="N401"/>
  <c r="K147"/>
  <c r="G147"/>
  <c r="O143"/>
  <c r="O142"/>
  <c r="L142"/>
  <c r="O140"/>
  <c r="O139"/>
  <c r="L139"/>
  <c r="O134"/>
  <c r="L134"/>
  <c r="O133"/>
  <c r="AC123"/>
  <c r="Z123"/>
  <c r="O123"/>
  <c r="L123"/>
  <c r="AC122"/>
  <c r="O122"/>
  <c r="L122"/>
  <c r="Z121"/>
  <c r="K35"/>
  <c r="G35" s="1"/>
  <c r="H458" i="9"/>
  <c r="G458"/>
  <c r="F458"/>
  <c r="E458"/>
  <c r="C458"/>
  <c r="B458"/>
  <c r="H457"/>
  <c r="G457"/>
  <c r="F457"/>
  <c r="E457"/>
  <c r="C457"/>
  <c r="B457"/>
  <c r="H456"/>
  <c r="G456"/>
  <c r="F456"/>
  <c r="E456"/>
  <c r="C456"/>
  <c r="B456"/>
  <c r="H455"/>
  <c r="G455"/>
  <c r="F455"/>
  <c r="E455"/>
  <c r="C455"/>
  <c r="B455"/>
  <c r="H453"/>
  <c r="G453"/>
  <c r="F453"/>
  <c r="E453"/>
  <c r="C453"/>
  <c r="B453"/>
  <c r="H452"/>
  <c r="G452"/>
  <c r="F452"/>
  <c r="E452"/>
  <c r="C452"/>
  <c r="B452"/>
  <c r="H451"/>
  <c r="G451"/>
  <c r="F451"/>
  <c r="E451"/>
  <c r="C451"/>
  <c r="B451"/>
  <c r="H450"/>
  <c r="G450"/>
  <c r="F450"/>
  <c r="E450"/>
  <c r="C450"/>
  <c r="B450"/>
  <c r="H448"/>
  <c r="G448"/>
  <c r="F448"/>
  <c r="E448"/>
  <c r="C448"/>
  <c r="B448"/>
  <c r="H447"/>
  <c r="G447"/>
  <c r="F447"/>
  <c r="E447"/>
  <c r="C447"/>
  <c r="B447"/>
  <c r="H446"/>
  <c r="G446"/>
  <c r="F446"/>
  <c r="E446"/>
  <c r="C446"/>
  <c r="B446"/>
  <c r="H445"/>
  <c r="G445"/>
  <c r="F445"/>
  <c r="E445"/>
  <c r="C445"/>
  <c r="B445"/>
  <c r="H443"/>
  <c r="G443"/>
  <c r="F443"/>
  <c r="E443"/>
  <c r="C443"/>
  <c r="B443"/>
  <c r="H442"/>
  <c r="G442"/>
  <c r="F442"/>
  <c r="E442"/>
  <c r="C442"/>
  <c r="B442"/>
  <c r="H441"/>
  <c r="G441"/>
  <c r="F441"/>
  <c r="E441"/>
  <c r="C441"/>
  <c r="B441"/>
  <c r="H440"/>
  <c r="G440"/>
  <c r="F440"/>
  <c r="E440"/>
  <c r="C440"/>
  <c r="B440"/>
  <c r="H428"/>
  <c r="G428"/>
  <c r="F428"/>
  <c r="E428"/>
  <c r="C428"/>
  <c r="B428"/>
  <c r="H427"/>
  <c r="G427"/>
  <c r="F427"/>
  <c r="E427"/>
  <c r="C427"/>
  <c r="B427"/>
  <c r="H426"/>
  <c r="G426"/>
  <c r="F426"/>
  <c r="E426"/>
  <c r="C426"/>
  <c r="B426"/>
  <c r="H425"/>
  <c r="G425"/>
  <c r="F425"/>
  <c r="E425"/>
  <c r="C425"/>
  <c r="B425"/>
  <c r="H423"/>
  <c r="G423"/>
  <c r="F423"/>
  <c r="E423"/>
  <c r="C423"/>
  <c r="B423"/>
  <c r="H422"/>
  <c r="G422"/>
  <c r="F422"/>
  <c r="E422"/>
  <c r="C422"/>
  <c r="B422"/>
  <c r="H421"/>
  <c r="G421"/>
  <c r="F421"/>
  <c r="E421"/>
  <c r="C421"/>
  <c r="B421"/>
  <c r="H420"/>
  <c r="G420"/>
  <c r="F420"/>
  <c r="E420"/>
  <c r="C420"/>
  <c r="B420"/>
  <c r="H418"/>
  <c r="G418"/>
  <c r="F418"/>
  <c r="E418"/>
  <c r="C418"/>
  <c r="B418"/>
  <c r="H417"/>
  <c r="G417"/>
  <c r="F417"/>
  <c r="E417"/>
  <c r="C417"/>
  <c r="B417"/>
  <c r="H416"/>
  <c r="G416"/>
  <c r="F416"/>
  <c r="E416"/>
  <c r="C416"/>
  <c r="B416"/>
  <c r="H415"/>
  <c r="G415"/>
  <c r="F415"/>
  <c r="E415"/>
  <c r="C415"/>
  <c r="B415"/>
  <c r="H413"/>
  <c r="G413"/>
  <c r="F413"/>
  <c r="E413"/>
  <c r="C413"/>
  <c r="B413"/>
  <c r="H412"/>
  <c r="G412"/>
  <c r="F412"/>
  <c r="E412"/>
  <c r="C412"/>
  <c r="B412"/>
  <c r="H411"/>
  <c r="G411"/>
  <c r="F411"/>
  <c r="E411"/>
  <c r="C411"/>
  <c r="B411"/>
  <c r="H410"/>
  <c r="G410"/>
  <c r="F410"/>
  <c r="E410"/>
  <c r="C410"/>
  <c r="B410"/>
  <c r="H398"/>
  <c r="G398"/>
  <c r="F398"/>
  <c r="E398"/>
  <c r="C398"/>
  <c r="B398"/>
  <c r="H397"/>
  <c r="G397"/>
  <c r="F397"/>
  <c r="E397"/>
  <c r="C397"/>
  <c r="B397"/>
  <c r="H396"/>
  <c r="G396"/>
  <c r="F396"/>
  <c r="E396"/>
  <c r="C396"/>
  <c r="B396"/>
  <c r="H395"/>
  <c r="G395"/>
  <c r="F395"/>
  <c r="E395"/>
  <c r="C395"/>
  <c r="B395"/>
  <c r="H393"/>
  <c r="G393"/>
  <c r="F393"/>
  <c r="E393"/>
  <c r="C393"/>
  <c r="B393"/>
  <c r="H392"/>
  <c r="G392"/>
  <c r="F392"/>
  <c r="E392"/>
  <c r="C392"/>
  <c r="B392"/>
  <c r="H391"/>
  <c r="G391"/>
  <c r="F391"/>
  <c r="E391"/>
  <c r="C391"/>
  <c r="B391"/>
  <c r="H390"/>
  <c r="G390"/>
  <c r="F390"/>
  <c r="E390"/>
  <c r="C390"/>
  <c r="B390"/>
  <c r="H388"/>
  <c r="G388"/>
  <c r="F388"/>
  <c r="E388"/>
  <c r="C388"/>
  <c r="B388"/>
  <c r="H387"/>
  <c r="G387"/>
  <c r="F387"/>
  <c r="E387"/>
  <c r="C387"/>
  <c r="B387"/>
  <c r="H386"/>
  <c r="G386"/>
  <c r="F386"/>
  <c r="E386"/>
  <c r="C386"/>
  <c r="B386"/>
  <c r="H385"/>
  <c r="G385"/>
  <c r="F385"/>
  <c r="E385"/>
  <c r="C385"/>
  <c r="B385"/>
  <c r="H383"/>
  <c r="G383"/>
  <c r="F383"/>
  <c r="E383"/>
  <c r="C383"/>
  <c r="B383"/>
  <c r="H382"/>
  <c r="G382"/>
  <c r="F382"/>
  <c r="E382"/>
  <c r="C382"/>
  <c r="B382"/>
  <c r="H381"/>
  <c r="G381"/>
  <c r="F381"/>
  <c r="E381"/>
  <c r="C381"/>
  <c r="B381"/>
  <c r="H380"/>
  <c r="G380"/>
  <c r="F380"/>
  <c r="E380"/>
  <c r="C380"/>
  <c r="B380"/>
  <c r="H367"/>
  <c r="G367"/>
  <c r="F367"/>
  <c r="E367"/>
  <c r="C367"/>
  <c r="B367"/>
  <c r="H366"/>
  <c r="G366"/>
  <c r="F366"/>
  <c r="E366"/>
  <c r="C366"/>
  <c r="B366"/>
  <c r="H365"/>
  <c r="G365"/>
  <c r="F365"/>
  <c r="E365"/>
  <c r="C365"/>
  <c r="B365"/>
  <c r="H364"/>
  <c r="G364"/>
  <c r="F364"/>
  <c r="E364"/>
  <c r="C364"/>
  <c r="B364"/>
  <c r="H362"/>
  <c r="G362"/>
  <c r="F362"/>
  <c r="E362"/>
  <c r="C362"/>
  <c r="B362"/>
  <c r="H361"/>
  <c r="G361"/>
  <c r="F361"/>
  <c r="E361"/>
  <c r="C361"/>
  <c r="B361"/>
  <c r="H360"/>
  <c r="G360"/>
  <c r="F360"/>
  <c r="E360"/>
  <c r="C360"/>
  <c r="B360"/>
  <c r="H359"/>
  <c r="G359"/>
  <c r="F359"/>
  <c r="E359"/>
  <c r="C359"/>
  <c r="B359"/>
  <c r="H357"/>
  <c r="G357"/>
  <c r="F357"/>
  <c r="E357"/>
  <c r="C357"/>
  <c r="B357"/>
  <c r="H356"/>
  <c r="G356"/>
  <c r="F356"/>
  <c r="E356"/>
  <c r="C356"/>
  <c r="B356"/>
  <c r="H355"/>
  <c r="G355"/>
  <c r="F355"/>
  <c r="E355"/>
  <c r="C355"/>
  <c r="B355"/>
  <c r="H354"/>
  <c r="G354"/>
  <c r="F354"/>
  <c r="E354"/>
  <c r="C354"/>
  <c r="B354"/>
  <c r="H352"/>
  <c r="G352"/>
  <c r="F352"/>
  <c r="E352"/>
  <c r="C352"/>
  <c r="B352"/>
  <c r="H351"/>
  <c r="G351"/>
  <c r="F351"/>
  <c r="E351"/>
  <c r="C351"/>
  <c r="B351"/>
  <c r="H350"/>
  <c r="G350"/>
  <c r="F350"/>
  <c r="E350"/>
  <c r="C350"/>
  <c r="B350"/>
  <c r="H349"/>
  <c r="G349"/>
  <c r="F349"/>
  <c r="E349"/>
  <c r="C349"/>
  <c r="B349"/>
  <c r="H337"/>
  <c r="G337"/>
  <c r="F337"/>
  <c r="E337"/>
  <c r="C337"/>
  <c r="B337"/>
  <c r="H336"/>
  <c r="G336"/>
  <c r="F336"/>
  <c r="E336"/>
  <c r="C336"/>
  <c r="B336"/>
  <c r="H335"/>
  <c r="G335"/>
  <c r="F335"/>
  <c r="E335"/>
  <c r="C335"/>
  <c r="B335"/>
  <c r="H334"/>
  <c r="G334"/>
  <c r="F334"/>
  <c r="E334"/>
  <c r="C334"/>
  <c r="B334"/>
  <c r="H332"/>
  <c r="G332"/>
  <c r="F332"/>
  <c r="E332"/>
  <c r="C332"/>
  <c r="B332"/>
  <c r="H331"/>
  <c r="G331"/>
  <c r="F331"/>
  <c r="E331"/>
  <c r="C331"/>
  <c r="B331"/>
  <c r="H330"/>
  <c r="G330"/>
  <c r="F330"/>
  <c r="E330"/>
  <c r="C330"/>
  <c r="B330"/>
  <c r="H329"/>
  <c r="G329"/>
  <c r="F329"/>
  <c r="E329"/>
  <c r="C329"/>
  <c r="B329"/>
  <c r="H327"/>
  <c r="G327"/>
  <c r="F327"/>
  <c r="E327"/>
  <c r="C327"/>
  <c r="B327"/>
  <c r="H326"/>
  <c r="G326"/>
  <c r="F326"/>
  <c r="E326"/>
  <c r="C326"/>
  <c r="B326"/>
  <c r="H325"/>
  <c r="G325"/>
  <c r="F325"/>
  <c r="E325"/>
  <c r="C325"/>
  <c r="B325"/>
  <c r="H324"/>
  <c r="G324"/>
  <c r="F324"/>
  <c r="E324"/>
  <c r="C324"/>
  <c r="B324"/>
  <c r="H322"/>
  <c r="G322"/>
  <c r="F322"/>
  <c r="E322"/>
  <c r="C322"/>
  <c r="B322"/>
  <c r="H321"/>
  <c r="G321"/>
  <c r="F321"/>
  <c r="E321"/>
  <c r="C321"/>
  <c r="B321"/>
  <c r="H320"/>
  <c r="G320"/>
  <c r="F320"/>
  <c r="E320"/>
  <c r="C320"/>
  <c r="B320"/>
  <c r="H319"/>
  <c r="G319"/>
  <c r="F319"/>
  <c r="E319"/>
  <c r="C319"/>
  <c r="B319"/>
  <c r="H306"/>
  <c r="G306"/>
  <c r="F306"/>
  <c r="E306"/>
  <c r="C306"/>
  <c r="B306"/>
  <c r="H305"/>
  <c r="G305"/>
  <c r="F305"/>
  <c r="E305"/>
  <c r="C305"/>
  <c r="B305"/>
  <c r="H304"/>
  <c r="G304"/>
  <c r="F304"/>
  <c r="E304"/>
  <c r="C304"/>
  <c r="B304"/>
  <c r="H303"/>
  <c r="G303"/>
  <c r="F303"/>
  <c r="E303"/>
  <c r="C303"/>
  <c r="B303"/>
  <c r="H301"/>
  <c r="G301"/>
  <c r="F301"/>
  <c r="E301"/>
  <c r="C301"/>
  <c r="B301"/>
  <c r="H300"/>
  <c r="G300"/>
  <c r="F300"/>
  <c r="E300"/>
  <c r="C300"/>
  <c r="B300"/>
  <c r="H299"/>
  <c r="G299"/>
  <c r="F299"/>
  <c r="E299"/>
  <c r="C299"/>
  <c r="B299"/>
  <c r="H298"/>
  <c r="G298"/>
  <c r="F298"/>
  <c r="E298"/>
  <c r="C298"/>
  <c r="B298"/>
  <c r="H296"/>
  <c r="G296"/>
  <c r="F296"/>
  <c r="E296"/>
  <c r="C296"/>
  <c r="B296"/>
  <c r="H295"/>
  <c r="G295"/>
  <c r="F295"/>
  <c r="E295"/>
  <c r="C295"/>
  <c r="B295"/>
  <c r="H294"/>
  <c r="G294"/>
  <c r="F294"/>
  <c r="E294"/>
  <c r="C294"/>
  <c r="B294"/>
  <c r="H293"/>
  <c r="G293"/>
  <c r="F293"/>
  <c r="E293"/>
  <c r="C293"/>
  <c r="B293"/>
  <c r="H291"/>
  <c r="G291"/>
  <c r="F291"/>
  <c r="E291"/>
  <c r="C291"/>
  <c r="B291"/>
  <c r="H290"/>
  <c r="G290"/>
  <c r="F290"/>
  <c r="E290"/>
  <c r="C290"/>
  <c r="B290"/>
  <c r="H289"/>
  <c r="G289"/>
  <c r="F289"/>
  <c r="E289"/>
  <c r="C289"/>
  <c r="B289"/>
  <c r="H288"/>
  <c r="G288"/>
  <c r="F288"/>
  <c r="E288"/>
  <c r="C288"/>
  <c r="B288"/>
  <c r="H275"/>
  <c r="G275"/>
  <c r="F275"/>
  <c r="E275"/>
  <c r="C275"/>
  <c r="B275"/>
  <c r="H274"/>
  <c r="G274"/>
  <c r="F274"/>
  <c r="E274"/>
  <c r="C274"/>
  <c r="B274"/>
  <c r="H273"/>
  <c r="G273"/>
  <c r="F273"/>
  <c r="E273"/>
  <c r="C273"/>
  <c r="B273"/>
  <c r="H272"/>
  <c r="G272"/>
  <c r="F272"/>
  <c r="E272"/>
  <c r="C272"/>
  <c r="B272"/>
  <c r="H270"/>
  <c r="G270"/>
  <c r="F270"/>
  <c r="E270"/>
  <c r="C270"/>
  <c r="B270"/>
  <c r="H269"/>
  <c r="G269"/>
  <c r="F269"/>
  <c r="E269"/>
  <c r="C269"/>
  <c r="B269"/>
  <c r="H268"/>
  <c r="G268"/>
  <c r="F268"/>
  <c r="E268"/>
  <c r="C268"/>
  <c r="B268"/>
  <c r="H267"/>
  <c r="G267"/>
  <c r="F267"/>
  <c r="E267"/>
  <c r="C267"/>
  <c r="B267"/>
  <c r="H265"/>
  <c r="G265"/>
  <c r="F265"/>
  <c r="E265"/>
  <c r="C265"/>
  <c r="B265"/>
  <c r="H264"/>
  <c r="G264"/>
  <c r="F264"/>
  <c r="E264"/>
  <c r="C264"/>
  <c r="B264"/>
  <c r="H263"/>
  <c r="G263"/>
  <c r="F263"/>
  <c r="E263"/>
  <c r="C263"/>
  <c r="B263"/>
  <c r="H262"/>
  <c r="G262"/>
  <c r="F262"/>
  <c r="E262"/>
  <c r="C262"/>
  <c r="B262"/>
  <c r="H260"/>
  <c r="G260"/>
  <c r="F260"/>
  <c r="E260"/>
  <c r="C260"/>
  <c r="B260"/>
  <c r="H259"/>
  <c r="G259"/>
  <c r="F259"/>
  <c r="E259"/>
  <c r="C259"/>
  <c r="B259"/>
  <c r="H258"/>
  <c r="G258"/>
  <c r="F258"/>
  <c r="E258"/>
  <c r="C258"/>
  <c r="B258"/>
  <c r="H257"/>
  <c r="G257"/>
  <c r="F257"/>
  <c r="E257"/>
  <c r="C257"/>
  <c r="B257"/>
  <c r="H244"/>
  <c r="G244"/>
  <c r="F244"/>
  <c r="E244"/>
  <c r="C244"/>
  <c r="B244"/>
  <c r="H243"/>
  <c r="G243"/>
  <c r="F243"/>
  <c r="E243"/>
  <c r="C243"/>
  <c r="B243"/>
  <c r="H242"/>
  <c r="G242"/>
  <c r="F242"/>
  <c r="E242"/>
  <c r="C242"/>
  <c r="B242"/>
  <c r="H241"/>
  <c r="G241"/>
  <c r="F241"/>
  <c r="E241"/>
  <c r="C241"/>
  <c r="B241"/>
  <c r="H239"/>
  <c r="G239"/>
  <c r="F239"/>
  <c r="E239"/>
  <c r="C239"/>
  <c r="B239"/>
  <c r="H238"/>
  <c r="G238"/>
  <c r="F238"/>
  <c r="E238"/>
  <c r="C238"/>
  <c r="B238"/>
  <c r="H237"/>
  <c r="G237"/>
  <c r="F237"/>
  <c r="E237"/>
  <c r="C237"/>
  <c r="B237"/>
  <c r="H236"/>
  <c r="G236"/>
  <c r="F236"/>
  <c r="E236"/>
  <c r="C236"/>
  <c r="B236"/>
  <c r="H234"/>
  <c r="G234"/>
  <c r="F234"/>
  <c r="E234"/>
  <c r="C234"/>
  <c r="B234"/>
  <c r="H233"/>
  <c r="G233"/>
  <c r="F233"/>
  <c r="E233"/>
  <c r="C233"/>
  <c r="B233"/>
  <c r="H232"/>
  <c r="C232"/>
  <c r="B232"/>
  <c r="H231"/>
  <c r="G231"/>
  <c r="F231"/>
  <c r="E231"/>
  <c r="C231"/>
  <c r="B231"/>
  <c r="H229"/>
  <c r="G229"/>
  <c r="F229"/>
  <c r="E229"/>
  <c r="C229"/>
  <c r="B229"/>
  <c r="H228"/>
  <c r="G228"/>
  <c r="F228"/>
  <c r="E228"/>
  <c r="C228"/>
  <c r="B228"/>
  <c r="H227"/>
  <c r="G227"/>
  <c r="F227"/>
  <c r="E227"/>
  <c r="C227"/>
  <c r="B227"/>
  <c r="H226"/>
  <c r="G226"/>
  <c r="F226"/>
  <c r="E226"/>
  <c r="C226"/>
  <c r="B226"/>
  <c r="I227"/>
  <c r="I228" s="1"/>
  <c r="J226"/>
  <c r="K226" s="1"/>
  <c r="L226" s="1"/>
  <c r="M226" s="1"/>
  <c r="N226" s="1"/>
  <c r="O226" s="1"/>
  <c r="P213"/>
  <c r="O213"/>
  <c r="N213"/>
  <c r="M213"/>
  <c r="K213"/>
  <c r="J213"/>
  <c r="H213"/>
  <c r="G213"/>
  <c r="F213"/>
  <c r="E213"/>
  <c r="C213"/>
  <c r="B213"/>
  <c r="P212"/>
  <c r="O212"/>
  <c r="N212"/>
  <c r="M212"/>
  <c r="K212"/>
  <c r="J212"/>
  <c r="H212"/>
  <c r="G212"/>
  <c r="F212"/>
  <c r="E212"/>
  <c r="C212"/>
  <c r="B212"/>
  <c r="P211"/>
  <c r="O211"/>
  <c r="N211"/>
  <c r="M211"/>
  <c r="K211"/>
  <c r="J211"/>
  <c r="H211"/>
  <c r="G211"/>
  <c r="F211"/>
  <c r="E211"/>
  <c r="C211"/>
  <c r="B211"/>
  <c r="P210"/>
  <c r="O210"/>
  <c r="N210"/>
  <c r="M210"/>
  <c r="K210"/>
  <c r="J210"/>
  <c r="H210"/>
  <c r="G210"/>
  <c r="F210"/>
  <c r="E210"/>
  <c r="C210"/>
  <c r="B210"/>
  <c r="P208"/>
  <c r="O208"/>
  <c r="N208"/>
  <c r="M208"/>
  <c r="K208"/>
  <c r="J208"/>
  <c r="H208"/>
  <c r="G208"/>
  <c r="F208"/>
  <c r="E208"/>
  <c r="C208"/>
  <c r="B208"/>
  <c r="P207"/>
  <c r="O207"/>
  <c r="N207"/>
  <c r="M207"/>
  <c r="K207"/>
  <c r="J207"/>
  <c r="H207"/>
  <c r="G207"/>
  <c r="F207"/>
  <c r="E207"/>
  <c r="C207"/>
  <c r="B207"/>
  <c r="P206"/>
  <c r="O206"/>
  <c r="N206"/>
  <c r="M206"/>
  <c r="K206"/>
  <c r="J206"/>
  <c r="H206"/>
  <c r="G206"/>
  <c r="F206"/>
  <c r="E206"/>
  <c r="C206"/>
  <c r="B206"/>
  <c r="P205"/>
  <c r="O205"/>
  <c r="N205"/>
  <c r="M205"/>
  <c r="K205"/>
  <c r="J205"/>
  <c r="H205"/>
  <c r="G205"/>
  <c r="F205"/>
  <c r="E205"/>
  <c r="C205"/>
  <c r="B205"/>
  <c r="P203"/>
  <c r="O203"/>
  <c r="N203"/>
  <c r="M203"/>
  <c r="K203"/>
  <c r="J203"/>
  <c r="H203"/>
  <c r="G203"/>
  <c r="F203"/>
  <c r="E203"/>
  <c r="C203"/>
  <c r="B203"/>
  <c r="P202"/>
  <c r="O202"/>
  <c r="N202"/>
  <c r="M202"/>
  <c r="K202"/>
  <c r="J202"/>
  <c r="H202"/>
  <c r="G202"/>
  <c r="F202"/>
  <c r="E202"/>
  <c r="C202"/>
  <c r="B202"/>
  <c r="P201"/>
  <c r="O201"/>
  <c r="N201"/>
  <c r="M201"/>
  <c r="K201"/>
  <c r="J201"/>
  <c r="H201"/>
  <c r="G201"/>
  <c r="F201"/>
  <c r="E201"/>
  <c r="C201"/>
  <c r="B201"/>
  <c r="P200"/>
  <c r="O200"/>
  <c r="N200"/>
  <c r="M200"/>
  <c r="K200"/>
  <c r="J200"/>
  <c r="H200"/>
  <c r="G200"/>
  <c r="F200"/>
  <c r="E200"/>
  <c r="C200"/>
  <c r="B200"/>
  <c r="P198"/>
  <c r="O198"/>
  <c r="N198"/>
  <c r="M198"/>
  <c r="K198"/>
  <c r="J198"/>
  <c r="H198"/>
  <c r="G198"/>
  <c r="F198"/>
  <c r="E198"/>
  <c r="C198"/>
  <c r="B198"/>
  <c r="P197"/>
  <c r="O197"/>
  <c r="N197"/>
  <c r="M197"/>
  <c r="K197"/>
  <c r="J197"/>
  <c r="H197"/>
  <c r="G197"/>
  <c r="F197"/>
  <c r="E197"/>
  <c r="C197"/>
  <c r="B197"/>
  <c r="P196"/>
  <c r="O196"/>
  <c r="N196"/>
  <c r="M196"/>
  <c r="K196"/>
  <c r="J196"/>
  <c r="H196"/>
  <c r="G196"/>
  <c r="F196"/>
  <c r="E196"/>
  <c r="C196"/>
  <c r="B196"/>
  <c r="P195"/>
  <c r="O195"/>
  <c r="N195"/>
  <c r="M195"/>
  <c r="K195"/>
  <c r="J195"/>
  <c r="H195"/>
  <c r="G195"/>
  <c r="F195"/>
  <c r="E195"/>
  <c r="C195"/>
  <c r="B195"/>
  <c r="P182"/>
  <c r="O182"/>
  <c r="N182"/>
  <c r="M182"/>
  <c r="K182"/>
  <c r="J182"/>
  <c r="H182"/>
  <c r="G182"/>
  <c r="F182"/>
  <c r="E182"/>
  <c r="C182"/>
  <c r="B182"/>
  <c r="P181"/>
  <c r="O181"/>
  <c r="N181"/>
  <c r="M181"/>
  <c r="K181"/>
  <c r="J181"/>
  <c r="H181"/>
  <c r="G181"/>
  <c r="F181"/>
  <c r="E181"/>
  <c r="C181"/>
  <c r="B181"/>
  <c r="P180"/>
  <c r="O180"/>
  <c r="N180"/>
  <c r="M180"/>
  <c r="K180"/>
  <c r="J180"/>
  <c r="H180"/>
  <c r="G180"/>
  <c r="F180"/>
  <c r="E180"/>
  <c r="C180"/>
  <c r="B180"/>
  <c r="P179"/>
  <c r="O179"/>
  <c r="N179"/>
  <c r="M179"/>
  <c r="K179"/>
  <c r="J179"/>
  <c r="H179"/>
  <c r="G179"/>
  <c r="F179"/>
  <c r="E179"/>
  <c r="C179"/>
  <c r="B179"/>
  <c r="P177"/>
  <c r="O177"/>
  <c r="N177"/>
  <c r="M177"/>
  <c r="K177"/>
  <c r="J177"/>
  <c r="H177"/>
  <c r="G177"/>
  <c r="F177"/>
  <c r="E177"/>
  <c r="C177"/>
  <c r="B177"/>
  <c r="P176"/>
  <c r="O176"/>
  <c r="N176"/>
  <c r="M176"/>
  <c r="K176"/>
  <c r="J176"/>
  <c r="H176"/>
  <c r="G176"/>
  <c r="F176"/>
  <c r="E176"/>
  <c r="C176"/>
  <c r="B176"/>
  <c r="P175"/>
  <c r="O175"/>
  <c r="N175"/>
  <c r="M175"/>
  <c r="K175"/>
  <c r="J175"/>
  <c r="H175"/>
  <c r="G175"/>
  <c r="F175"/>
  <c r="E175"/>
  <c r="C175"/>
  <c r="B175"/>
  <c r="P174"/>
  <c r="O174"/>
  <c r="N174"/>
  <c r="M174"/>
  <c r="K174"/>
  <c r="J174"/>
  <c r="H174"/>
  <c r="G174"/>
  <c r="F174"/>
  <c r="E174"/>
  <c r="C174"/>
  <c r="B174"/>
  <c r="P172"/>
  <c r="O172"/>
  <c r="N172"/>
  <c r="M172"/>
  <c r="K172"/>
  <c r="J172"/>
  <c r="H172"/>
  <c r="G172"/>
  <c r="F172"/>
  <c r="E172"/>
  <c r="C172"/>
  <c r="B172"/>
  <c r="P171"/>
  <c r="O171"/>
  <c r="N171"/>
  <c r="M171"/>
  <c r="K171"/>
  <c r="J171"/>
  <c r="H171"/>
  <c r="G171"/>
  <c r="F171"/>
  <c r="E171"/>
  <c r="C171"/>
  <c r="B171"/>
  <c r="P170"/>
  <c r="O170"/>
  <c r="N170"/>
  <c r="M170"/>
  <c r="K170"/>
  <c r="J170"/>
  <c r="H170"/>
  <c r="G170"/>
  <c r="F170"/>
  <c r="E170"/>
  <c r="C170"/>
  <c r="B170"/>
  <c r="P169"/>
  <c r="O169"/>
  <c r="N169"/>
  <c r="M169"/>
  <c r="K169"/>
  <c r="J169"/>
  <c r="H169"/>
  <c r="G169"/>
  <c r="F169"/>
  <c r="E169"/>
  <c r="C169"/>
  <c r="B169"/>
  <c r="P167"/>
  <c r="O167"/>
  <c r="N167"/>
  <c r="M167"/>
  <c r="K167"/>
  <c r="J167"/>
  <c r="H167"/>
  <c r="G167"/>
  <c r="F167"/>
  <c r="E167"/>
  <c r="C167"/>
  <c r="B167"/>
  <c r="P166"/>
  <c r="O166"/>
  <c r="N166"/>
  <c r="M166"/>
  <c r="K166"/>
  <c r="J166"/>
  <c r="H166"/>
  <c r="G166"/>
  <c r="F166"/>
  <c r="E166"/>
  <c r="C166"/>
  <c r="B166"/>
  <c r="P165"/>
  <c r="O165"/>
  <c r="N165"/>
  <c r="M165"/>
  <c r="K165"/>
  <c r="J165"/>
  <c r="H165"/>
  <c r="G165"/>
  <c r="F165"/>
  <c r="E165"/>
  <c r="C165"/>
  <c r="B165"/>
  <c r="P164"/>
  <c r="O164"/>
  <c r="N164"/>
  <c r="M164"/>
  <c r="K164"/>
  <c r="J164"/>
  <c r="P152"/>
  <c r="O152"/>
  <c r="N152"/>
  <c r="M152"/>
  <c r="K152"/>
  <c r="J152"/>
  <c r="H152"/>
  <c r="G152"/>
  <c r="F152"/>
  <c r="E152"/>
  <c r="C152"/>
  <c r="B152"/>
  <c r="P151"/>
  <c r="O151"/>
  <c r="N151"/>
  <c r="M151"/>
  <c r="K151"/>
  <c r="J151"/>
  <c r="H151"/>
  <c r="G151"/>
  <c r="F151"/>
  <c r="E151"/>
  <c r="C151"/>
  <c r="B151"/>
  <c r="P150"/>
  <c r="O150"/>
  <c r="N150"/>
  <c r="M150"/>
  <c r="K150"/>
  <c r="J150"/>
  <c r="H150"/>
  <c r="G150"/>
  <c r="F150"/>
  <c r="E150"/>
  <c r="C150"/>
  <c r="B150"/>
  <c r="P149"/>
  <c r="O149"/>
  <c r="N149"/>
  <c r="M149"/>
  <c r="K149"/>
  <c r="J149"/>
  <c r="H149"/>
  <c r="G149"/>
  <c r="F149"/>
  <c r="E149"/>
  <c r="C149"/>
  <c r="B149"/>
  <c r="P147"/>
  <c r="O147"/>
  <c r="N147"/>
  <c r="M147"/>
  <c r="K147"/>
  <c r="J147"/>
  <c r="H147"/>
  <c r="G147"/>
  <c r="F147"/>
  <c r="E147"/>
  <c r="C147"/>
  <c r="B147"/>
  <c r="P146"/>
  <c r="O146"/>
  <c r="N146"/>
  <c r="M146"/>
  <c r="K146"/>
  <c r="J146"/>
  <c r="H146"/>
  <c r="G146"/>
  <c r="F146"/>
  <c r="E146"/>
  <c r="C146"/>
  <c r="B146"/>
  <c r="P145"/>
  <c r="O145"/>
  <c r="N145"/>
  <c r="M145"/>
  <c r="K145"/>
  <c r="J145"/>
  <c r="H145"/>
  <c r="G145"/>
  <c r="F145"/>
  <c r="E145"/>
  <c r="C145"/>
  <c r="B145"/>
  <c r="P144"/>
  <c r="O144"/>
  <c r="N144"/>
  <c r="M144"/>
  <c r="K144"/>
  <c r="J144"/>
  <c r="H144"/>
  <c r="G144"/>
  <c r="F144"/>
  <c r="E144"/>
  <c r="C144"/>
  <c r="B144"/>
  <c r="P142"/>
  <c r="O142"/>
  <c r="N142"/>
  <c r="M142"/>
  <c r="K142"/>
  <c r="J142"/>
  <c r="H142"/>
  <c r="G142"/>
  <c r="F142"/>
  <c r="E142"/>
  <c r="C142"/>
  <c r="B142"/>
  <c r="P141"/>
  <c r="O141"/>
  <c r="N141"/>
  <c r="M141"/>
  <c r="K141"/>
  <c r="J141"/>
  <c r="H141"/>
  <c r="G141"/>
  <c r="F141"/>
  <c r="E141"/>
  <c r="C141"/>
  <c r="B141"/>
  <c r="P140"/>
  <c r="O140"/>
  <c r="N140"/>
  <c r="M140"/>
  <c r="K140"/>
  <c r="J140"/>
  <c r="H140"/>
  <c r="G140"/>
  <c r="F140"/>
  <c r="E140"/>
  <c r="C140"/>
  <c r="B140"/>
  <c r="P139"/>
  <c r="O139"/>
  <c r="N139"/>
  <c r="M139"/>
  <c r="K139"/>
  <c r="J139"/>
  <c r="H139"/>
  <c r="G139"/>
  <c r="F139"/>
  <c r="E139"/>
  <c r="C139"/>
  <c r="B139"/>
  <c r="P137"/>
  <c r="O137"/>
  <c r="N137"/>
  <c r="M137"/>
  <c r="K137"/>
  <c r="J137"/>
  <c r="H137"/>
  <c r="G137"/>
  <c r="F137"/>
  <c r="E137"/>
  <c r="C137"/>
  <c r="B137"/>
  <c r="P136"/>
  <c r="O136"/>
  <c r="N136"/>
  <c r="M136"/>
  <c r="K136"/>
  <c r="J136"/>
  <c r="H136"/>
  <c r="G136"/>
  <c r="F136"/>
  <c r="E136"/>
  <c r="C136"/>
  <c r="B136"/>
  <c r="P135"/>
  <c r="O135"/>
  <c r="N135"/>
  <c r="M135"/>
  <c r="K135"/>
  <c r="J135"/>
  <c r="H135"/>
  <c r="G135"/>
  <c r="F135"/>
  <c r="E135"/>
  <c r="C135"/>
  <c r="B135"/>
  <c r="P134"/>
  <c r="O134"/>
  <c r="N134"/>
  <c r="M134"/>
  <c r="K134"/>
  <c r="J134"/>
  <c r="H134"/>
  <c r="G134"/>
  <c r="F134"/>
  <c r="E134"/>
  <c r="C134"/>
  <c r="B134"/>
  <c r="P121"/>
  <c r="O121"/>
  <c r="N121"/>
  <c r="M121"/>
  <c r="K121"/>
  <c r="J121"/>
  <c r="H121"/>
  <c r="G121"/>
  <c r="F121"/>
  <c r="E121"/>
  <c r="C121"/>
  <c r="B121"/>
  <c r="P120"/>
  <c r="O120"/>
  <c r="N120"/>
  <c r="M120"/>
  <c r="K120"/>
  <c r="J120"/>
  <c r="H120"/>
  <c r="G120"/>
  <c r="F120"/>
  <c r="E120"/>
  <c r="C120"/>
  <c r="B120"/>
  <c r="P119"/>
  <c r="O119"/>
  <c r="N119"/>
  <c r="M119"/>
  <c r="K119"/>
  <c r="J119"/>
  <c r="H119"/>
  <c r="G119"/>
  <c r="F119"/>
  <c r="E119"/>
  <c r="C119"/>
  <c r="B119"/>
  <c r="P118"/>
  <c r="O118"/>
  <c r="N118"/>
  <c r="M118"/>
  <c r="K118"/>
  <c r="J118"/>
  <c r="H118"/>
  <c r="G118"/>
  <c r="F118"/>
  <c r="E118"/>
  <c r="C118"/>
  <c r="B118"/>
  <c r="P116"/>
  <c r="O116"/>
  <c r="N116"/>
  <c r="M116"/>
  <c r="K116"/>
  <c r="J116"/>
  <c r="H116"/>
  <c r="G116"/>
  <c r="F116"/>
  <c r="E116"/>
  <c r="C116"/>
  <c r="B116"/>
  <c r="P115"/>
  <c r="O115"/>
  <c r="N115"/>
  <c r="M115"/>
  <c r="K115"/>
  <c r="J115"/>
  <c r="H115"/>
  <c r="G115"/>
  <c r="F115"/>
  <c r="E115"/>
  <c r="C115"/>
  <c r="B115"/>
  <c r="P114"/>
  <c r="O114"/>
  <c r="N114"/>
  <c r="M114"/>
  <c r="K114"/>
  <c r="J114"/>
  <c r="H114"/>
  <c r="G114"/>
  <c r="F114"/>
  <c r="E114"/>
  <c r="C114"/>
  <c r="B114"/>
  <c r="P113"/>
  <c r="O113"/>
  <c r="N113"/>
  <c r="M113"/>
  <c r="K113"/>
  <c r="J113"/>
  <c r="H113"/>
  <c r="G113"/>
  <c r="F113"/>
  <c r="E113"/>
  <c r="C113"/>
  <c r="B113"/>
  <c r="P111"/>
  <c r="O111"/>
  <c r="N111"/>
  <c r="M111"/>
  <c r="K111"/>
  <c r="J111"/>
  <c r="H111"/>
  <c r="G111"/>
  <c r="F111"/>
  <c r="E111"/>
  <c r="C111"/>
  <c r="B111"/>
  <c r="P110"/>
  <c r="O110"/>
  <c r="N110"/>
  <c r="M110"/>
  <c r="K110"/>
  <c r="J110"/>
  <c r="H110"/>
  <c r="G110"/>
  <c r="F110"/>
  <c r="E110"/>
  <c r="C110"/>
  <c r="B110"/>
  <c r="P109"/>
  <c r="O109"/>
  <c r="N109"/>
  <c r="M109"/>
  <c r="K109"/>
  <c r="J109"/>
  <c r="H109"/>
  <c r="G109"/>
  <c r="F109"/>
  <c r="E109"/>
  <c r="C109"/>
  <c r="B109"/>
  <c r="P108"/>
  <c r="O108"/>
  <c r="N108"/>
  <c r="M108"/>
  <c r="K108"/>
  <c r="J108"/>
  <c r="H108"/>
  <c r="G108"/>
  <c r="F108"/>
  <c r="E108"/>
  <c r="C108"/>
  <c r="B108"/>
  <c r="P106"/>
  <c r="O106"/>
  <c r="N106"/>
  <c r="M106"/>
  <c r="K106"/>
  <c r="J106"/>
  <c r="H106"/>
  <c r="G106"/>
  <c r="F106"/>
  <c r="E106"/>
  <c r="C106"/>
  <c r="B106"/>
  <c r="P105"/>
  <c r="O105"/>
  <c r="N105"/>
  <c r="M105"/>
  <c r="K105"/>
  <c r="J105"/>
  <c r="H105"/>
  <c r="G105"/>
  <c r="F105"/>
  <c r="E105"/>
  <c r="C105"/>
  <c r="B105"/>
  <c r="P104"/>
  <c r="O104"/>
  <c r="N104"/>
  <c r="M104"/>
  <c r="K104"/>
  <c r="J104"/>
  <c r="H104"/>
  <c r="G104"/>
  <c r="F104"/>
  <c r="E104"/>
  <c r="C104"/>
  <c r="B104"/>
  <c r="P103"/>
  <c r="O103"/>
  <c r="N103"/>
  <c r="M103"/>
  <c r="K103"/>
  <c r="J103"/>
  <c r="P90"/>
  <c r="O90"/>
  <c r="N90"/>
  <c r="M90"/>
  <c r="K90"/>
  <c r="J90"/>
  <c r="H90"/>
  <c r="G90"/>
  <c r="F90"/>
  <c r="E90"/>
  <c r="C90"/>
  <c r="B90"/>
  <c r="P89"/>
  <c r="O89"/>
  <c r="N89"/>
  <c r="M89"/>
  <c r="K89"/>
  <c r="J89"/>
  <c r="H89"/>
  <c r="G89"/>
  <c r="F89"/>
  <c r="E89"/>
  <c r="C89"/>
  <c r="B89"/>
  <c r="P88"/>
  <c r="O88"/>
  <c r="N88"/>
  <c r="M88"/>
  <c r="K88"/>
  <c r="J88"/>
  <c r="H88"/>
  <c r="G88"/>
  <c r="F88"/>
  <c r="E88"/>
  <c r="C88"/>
  <c r="B88"/>
  <c r="P87"/>
  <c r="O87"/>
  <c r="N87"/>
  <c r="M87"/>
  <c r="K87"/>
  <c r="J87"/>
  <c r="H87"/>
  <c r="G87"/>
  <c r="F87"/>
  <c r="E87"/>
  <c r="C87"/>
  <c r="B87"/>
  <c r="P85"/>
  <c r="O85"/>
  <c r="N85"/>
  <c r="M85"/>
  <c r="K85"/>
  <c r="J85"/>
  <c r="H85"/>
  <c r="G85"/>
  <c r="F85"/>
  <c r="E85"/>
  <c r="C85"/>
  <c r="B85"/>
  <c r="P84"/>
  <c r="O84"/>
  <c r="N84"/>
  <c r="M84"/>
  <c r="K84"/>
  <c r="J84"/>
  <c r="H84"/>
  <c r="G84"/>
  <c r="F84"/>
  <c r="E84"/>
  <c r="C84"/>
  <c r="B84"/>
  <c r="P83"/>
  <c r="O83"/>
  <c r="N83"/>
  <c r="M83"/>
  <c r="K83"/>
  <c r="J83"/>
  <c r="H83"/>
  <c r="G83"/>
  <c r="F83"/>
  <c r="E83"/>
  <c r="C83"/>
  <c r="B83"/>
  <c r="P82"/>
  <c r="O82"/>
  <c r="N82"/>
  <c r="M82"/>
  <c r="K82"/>
  <c r="J82"/>
  <c r="H82"/>
  <c r="G82"/>
  <c r="F82"/>
  <c r="E82"/>
  <c r="C82"/>
  <c r="B82"/>
  <c r="P80"/>
  <c r="O80"/>
  <c r="N80"/>
  <c r="M80"/>
  <c r="K80"/>
  <c r="J80"/>
  <c r="H80"/>
  <c r="G80"/>
  <c r="F80"/>
  <c r="E80"/>
  <c r="C80"/>
  <c r="B80"/>
  <c r="P79"/>
  <c r="O79"/>
  <c r="N79"/>
  <c r="M79"/>
  <c r="K79"/>
  <c r="J79"/>
  <c r="H79"/>
  <c r="G79"/>
  <c r="F79"/>
  <c r="E79"/>
  <c r="C79"/>
  <c r="B79"/>
  <c r="P78"/>
  <c r="O78"/>
  <c r="N78"/>
  <c r="M78"/>
  <c r="K78"/>
  <c r="J78"/>
  <c r="H78"/>
  <c r="G78"/>
  <c r="F78"/>
  <c r="E78"/>
  <c r="C78"/>
  <c r="B78"/>
  <c r="P77"/>
  <c r="O77"/>
  <c r="N77"/>
  <c r="M77"/>
  <c r="K77"/>
  <c r="J77"/>
  <c r="H77"/>
  <c r="G77"/>
  <c r="F77"/>
  <c r="E77"/>
  <c r="C77"/>
  <c r="B77"/>
  <c r="P75"/>
  <c r="O75"/>
  <c r="N75"/>
  <c r="M75"/>
  <c r="K75"/>
  <c r="J75"/>
  <c r="H75"/>
  <c r="G75"/>
  <c r="F75"/>
  <c r="E75"/>
  <c r="C75"/>
  <c r="B75"/>
  <c r="P74"/>
  <c r="O74"/>
  <c r="N74"/>
  <c r="M74"/>
  <c r="K74"/>
  <c r="J74"/>
  <c r="H74"/>
  <c r="G74"/>
  <c r="F74"/>
  <c r="E74"/>
  <c r="C74"/>
  <c r="B74"/>
  <c r="P73"/>
  <c r="O73"/>
  <c r="N73"/>
  <c r="M73"/>
  <c r="K73"/>
  <c r="J73"/>
  <c r="H73"/>
  <c r="G73"/>
  <c r="F73"/>
  <c r="E73"/>
  <c r="C73"/>
  <c r="B73"/>
  <c r="P72"/>
  <c r="O72"/>
  <c r="N72"/>
  <c r="M72"/>
  <c r="K72"/>
  <c r="J72"/>
  <c r="H72"/>
  <c r="G72"/>
  <c r="F72"/>
  <c r="E72"/>
  <c r="C72"/>
  <c r="B72"/>
  <c r="P59"/>
  <c r="O59"/>
  <c r="N59"/>
  <c r="M59"/>
  <c r="K59"/>
  <c r="J59"/>
  <c r="H59"/>
  <c r="G59"/>
  <c r="F59"/>
  <c r="E59"/>
  <c r="C59"/>
  <c r="B59"/>
  <c r="P58"/>
  <c r="O58"/>
  <c r="N58"/>
  <c r="M58"/>
  <c r="K58"/>
  <c r="J58"/>
  <c r="H58"/>
  <c r="G58"/>
  <c r="F58"/>
  <c r="E58"/>
  <c r="C58"/>
  <c r="B58"/>
  <c r="P57"/>
  <c r="O57"/>
  <c r="N57"/>
  <c r="M57"/>
  <c r="K57"/>
  <c r="J57"/>
  <c r="H57"/>
  <c r="G57"/>
  <c r="F57"/>
  <c r="E57"/>
  <c r="C57"/>
  <c r="B57"/>
  <c r="P56"/>
  <c r="O56"/>
  <c r="N56"/>
  <c r="M56"/>
  <c r="K56"/>
  <c r="J56"/>
  <c r="H56"/>
  <c r="G56"/>
  <c r="F56"/>
  <c r="E56"/>
  <c r="C56"/>
  <c r="B56"/>
  <c r="P54"/>
  <c r="O54"/>
  <c r="N54"/>
  <c r="M54"/>
  <c r="K54"/>
  <c r="J54"/>
  <c r="H54"/>
  <c r="G54"/>
  <c r="F54"/>
  <c r="E54"/>
  <c r="C54"/>
  <c r="B54"/>
  <c r="P53"/>
  <c r="O53"/>
  <c r="N53"/>
  <c r="M53"/>
  <c r="K53"/>
  <c r="J53"/>
  <c r="H53"/>
  <c r="G53"/>
  <c r="F53"/>
  <c r="E53"/>
  <c r="C53"/>
  <c r="B53"/>
  <c r="P52"/>
  <c r="O52"/>
  <c r="N52"/>
  <c r="M52"/>
  <c r="K52"/>
  <c r="J52"/>
  <c r="H52"/>
  <c r="G52"/>
  <c r="F52"/>
  <c r="E52"/>
  <c r="C52"/>
  <c r="B52"/>
  <c r="P51"/>
  <c r="O51"/>
  <c r="N51"/>
  <c r="M51"/>
  <c r="K51"/>
  <c r="J51"/>
  <c r="H51"/>
  <c r="G51"/>
  <c r="F51"/>
  <c r="E51"/>
  <c r="C51"/>
  <c r="B51"/>
  <c r="P49"/>
  <c r="O49"/>
  <c r="N49"/>
  <c r="M49"/>
  <c r="K49"/>
  <c r="J49"/>
  <c r="H49"/>
  <c r="G49"/>
  <c r="F49"/>
  <c r="E49"/>
  <c r="C49"/>
  <c r="B49"/>
  <c r="P48"/>
  <c r="O48"/>
  <c r="N48"/>
  <c r="M48"/>
  <c r="K48"/>
  <c r="J48"/>
  <c r="H48"/>
  <c r="G48"/>
  <c r="F48"/>
  <c r="E48"/>
  <c r="C48"/>
  <c r="B48"/>
  <c r="P47"/>
  <c r="O47"/>
  <c r="N47"/>
  <c r="M47"/>
  <c r="K47"/>
  <c r="J47"/>
  <c r="H47"/>
  <c r="G47"/>
  <c r="F47"/>
  <c r="E47"/>
  <c r="C47"/>
  <c r="B47"/>
  <c r="P46"/>
  <c r="O46"/>
  <c r="N46"/>
  <c r="M46"/>
  <c r="K46"/>
  <c r="J46"/>
  <c r="H46"/>
  <c r="G46"/>
  <c r="F46"/>
  <c r="E46"/>
  <c r="C46"/>
  <c r="B46"/>
  <c r="P44"/>
  <c r="O44"/>
  <c r="N44"/>
  <c r="M44"/>
  <c r="K44"/>
  <c r="J44"/>
  <c r="H44"/>
  <c r="G44"/>
  <c r="F44"/>
  <c r="E44"/>
  <c r="C44"/>
  <c r="B44"/>
  <c r="P43"/>
  <c r="O43"/>
  <c r="N43"/>
  <c r="M43"/>
  <c r="K43"/>
  <c r="J43"/>
  <c r="H43"/>
  <c r="G43"/>
  <c r="F43"/>
  <c r="E43"/>
  <c r="C43"/>
  <c r="B43"/>
  <c r="P42"/>
  <c r="O42"/>
  <c r="N42"/>
  <c r="M42"/>
  <c r="K42"/>
  <c r="J42"/>
  <c r="H42"/>
  <c r="G42"/>
  <c r="F42"/>
  <c r="E42"/>
  <c r="C42"/>
  <c r="B42"/>
  <c r="P41"/>
  <c r="O41"/>
  <c r="N41"/>
  <c r="M41"/>
  <c r="K41"/>
  <c r="J41"/>
  <c r="H41"/>
  <c r="G41"/>
  <c r="F41"/>
  <c r="E41"/>
  <c r="C41"/>
  <c r="B41"/>
  <c r="U9"/>
  <c r="V9" s="1"/>
  <c r="W9" s="1"/>
  <c r="X9" s="1"/>
  <c r="Y9" s="1"/>
  <c r="Z9" s="1"/>
  <c r="AA9" s="1"/>
  <c r="AB9" s="1"/>
  <c r="AC9" s="1"/>
  <c r="AD9" s="1"/>
  <c r="AE9" s="1"/>
  <c r="T10"/>
  <c r="U10" s="1"/>
  <c r="V10" s="1"/>
  <c r="W10" s="1"/>
  <c r="X10" s="1"/>
  <c r="Y10" s="1"/>
  <c r="Z10" s="1"/>
  <c r="AA10" s="1"/>
  <c r="AB10" s="1"/>
  <c r="AC10" s="1"/>
  <c r="AD10" s="1"/>
  <c r="AE10" s="1"/>
  <c r="T11"/>
  <c r="U11" s="1"/>
  <c r="V11" s="1"/>
  <c r="W11" s="1"/>
  <c r="X11" s="1"/>
  <c r="Y11" s="1"/>
  <c r="Z11" s="1"/>
  <c r="AA11" s="1"/>
  <c r="AB11" s="1"/>
  <c r="AC11" s="1"/>
  <c r="AD11" s="1"/>
  <c r="AE11" s="1"/>
  <c r="Q297"/>
  <c r="P14" i="10"/>
  <c r="E20" i="9"/>
  <c r="F20"/>
  <c r="G20"/>
  <c r="M10"/>
  <c r="N10"/>
  <c r="O10"/>
  <c r="M11"/>
  <c r="N11"/>
  <c r="O11"/>
  <c r="M12"/>
  <c r="N12"/>
  <c r="O12"/>
  <c r="B99" i="10"/>
  <c r="C99"/>
  <c r="D99"/>
  <c r="E99"/>
  <c r="F99"/>
  <c r="G99"/>
  <c r="H99"/>
  <c r="M14" i="9"/>
  <c r="N14"/>
  <c r="O14"/>
  <c r="M15"/>
  <c r="N15"/>
  <c r="O15"/>
  <c r="M16"/>
  <c r="N16"/>
  <c r="O16"/>
  <c r="B104" i="10"/>
  <c r="C104"/>
  <c r="D104"/>
  <c r="E104"/>
  <c r="F104"/>
  <c r="G104"/>
  <c r="H104"/>
  <c r="M19" i="9"/>
  <c r="N19"/>
  <c r="O19"/>
  <c r="M20"/>
  <c r="N20"/>
  <c r="O20"/>
  <c r="M21"/>
  <c r="N21"/>
  <c r="O21"/>
  <c r="M22"/>
  <c r="N22"/>
  <c r="O22"/>
  <c r="B109" i="10"/>
  <c r="C109"/>
  <c r="D109"/>
  <c r="E109"/>
  <c r="F109"/>
  <c r="G109"/>
  <c r="H109"/>
  <c r="M24" i="9"/>
  <c r="N24"/>
  <c r="O24"/>
  <c r="M25"/>
  <c r="N25"/>
  <c r="O25"/>
  <c r="M26"/>
  <c r="N26"/>
  <c r="O26"/>
  <c r="M27"/>
  <c r="N27"/>
  <c r="O27"/>
  <c r="J10"/>
  <c r="K10"/>
  <c r="J11"/>
  <c r="K11"/>
  <c r="J12"/>
  <c r="K12"/>
  <c r="J14"/>
  <c r="K14"/>
  <c r="J15"/>
  <c r="K15"/>
  <c r="J16"/>
  <c r="K16"/>
  <c r="J19"/>
  <c r="K19"/>
  <c r="J20"/>
  <c r="K20"/>
  <c r="J21"/>
  <c r="K21"/>
  <c r="J22"/>
  <c r="K22"/>
  <c r="J24"/>
  <c r="K24"/>
  <c r="J25"/>
  <c r="K25"/>
  <c r="J26"/>
  <c r="K26"/>
  <c r="G84" i="10"/>
  <c r="J27" i="9"/>
  <c r="K27"/>
  <c r="E11"/>
  <c r="F11"/>
  <c r="G11"/>
  <c r="E12"/>
  <c r="F12"/>
  <c r="G12"/>
  <c r="E14"/>
  <c r="F14"/>
  <c r="G14"/>
  <c r="E15"/>
  <c r="F15"/>
  <c r="G15"/>
  <c r="E16"/>
  <c r="F16"/>
  <c r="G16"/>
  <c r="E17"/>
  <c r="F17"/>
  <c r="G17"/>
  <c r="E19"/>
  <c r="F19"/>
  <c r="G19"/>
  <c r="E21"/>
  <c r="F21"/>
  <c r="G21"/>
  <c r="E22"/>
  <c r="F22"/>
  <c r="G22"/>
  <c r="E24"/>
  <c r="F24"/>
  <c r="G24"/>
  <c r="E25"/>
  <c r="F25"/>
  <c r="G25"/>
  <c r="E26"/>
  <c r="F26"/>
  <c r="G26"/>
  <c r="E27"/>
  <c r="F27"/>
  <c r="G27"/>
  <c r="L8" i="10"/>
  <c r="B11" i="9"/>
  <c r="C11"/>
  <c r="B12"/>
  <c r="C12"/>
  <c r="B14"/>
  <c r="C14"/>
  <c r="K12" i="10"/>
  <c r="B15" i="9"/>
  <c r="C15"/>
  <c r="B16"/>
  <c r="C16"/>
  <c r="B17"/>
  <c r="C17"/>
  <c r="G17" i="10"/>
  <c r="B19" i="9"/>
  <c r="C19"/>
  <c r="B20"/>
  <c r="C20"/>
  <c r="B21"/>
  <c r="C21"/>
  <c r="F20" i="10"/>
  <c r="B22" i="9"/>
  <c r="C22"/>
  <c r="B24"/>
  <c r="C24"/>
  <c r="B25"/>
  <c r="C25"/>
  <c r="M23" i="10"/>
  <c r="B26" i="9"/>
  <c r="C26"/>
  <c r="B27"/>
  <c r="C27"/>
  <c r="P27"/>
  <c r="P25"/>
  <c r="P10"/>
  <c r="P11"/>
  <c r="P12"/>
  <c r="R13"/>
  <c r="P14"/>
  <c r="P15"/>
  <c r="P16"/>
  <c r="R18"/>
  <c r="P19"/>
  <c r="P20"/>
  <c r="P21"/>
  <c r="P22"/>
  <c r="R23"/>
  <c r="P24"/>
  <c r="P26"/>
  <c r="R28"/>
  <c r="R29"/>
  <c r="R30"/>
  <c r="R32"/>
  <c r="R33"/>
  <c r="R34"/>
  <c r="R35"/>
  <c r="R36"/>
  <c r="R37"/>
  <c r="R38"/>
  <c r="R39"/>
  <c r="R40"/>
  <c r="R45"/>
  <c r="R50"/>
  <c r="R55"/>
  <c r="R60"/>
  <c r="R61"/>
  <c r="R62"/>
  <c r="R63"/>
  <c r="R64"/>
  <c r="R65"/>
  <c r="R66"/>
  <c r="R67"/>
  <c r="R68"/>
  <c r="R69"/>
  <c r="R70"/>
  <c r="R71"/>
  <c r="R76"/>
  <c r="R81"/>
  <c r="R86"/>
  <c r="R91"/>
  <c r="R92"/>
  <c r="R93"/>
  <c r="R94"/>
  <c r="R95"/>
  <c r="R96"/>
  <c r="R97"/>
  <c r="R98"/>
  <c r="R99"/>
  <c r="R100"/>
  <c r="R101"/>
  <c r="R102"/>
  <c r="R107"/>
  <c r="R112"/>
  <c r="R117"/>
  <c r="R122"/>
  <c r="R123"/>
  <c r="R124"/>
  <c r="R125"/>
  <c r="R126"/>
  <c r="R127"/>
  <c r="R128"/>
  <c r="R129"/>
  <c r="R130"/>
  <c r="R131"/>
  <c r="R132"/>
  <c r="R133"/>
  <c r="R138"/>
  <c r="R143"/>
  <c r="R148"/>
  <c r="R153"/>
  <c r="R154"/>
  <c r="R155"/>
  <c r="R156"/>
  <c r="R157"/>
  <c r="R158"/>
  <c r="R159"/>
  <c r="R160"/>
  <c r="R161"/>
  <c r="R162"/>
  <c r="R163"/>
  <c r="R168"/>
  <c r="R173"/>
  <c r="R178"/>
  <c r="R183"/>
  <c r="R184"/>
  <c r="R185"/>
  <c r="R186"/>
  <c r="R187"/>
  <c r="R188"/>
  <c r="R189"/>
  <c r="R190"/>
  <c r="R191"/>
  <c r="R192"/>
  <c r="R193"/>
  <c r="R194"/>
  <c r="R199"/>
  <c r="R204"/>
  <c r="R209"/>
  <c r="R214"/>
  <c r="R215"/>
  <c r="R217"/>
  <c r="M9"/>
  <c r="N9"/>
  <c r="O9"/>
  <c r="Q399"/>
  <c r="Q400"/>
  <c r="Q401"/>
  <c r="Q402"/>
  <c r="Q403"/>
  <c r="Q404"/>
  <c r="Q405"/>
  <c r="Q406"/>
  <c r="Q407"/>
  <c r="Q408"/>
  <c r="Q409"/>
  <c r="Q414"/>
  <c r="Q419"/>
  <c r="Q424"/>
  <c r="Q429"/>
  <c r="Q430"/>
  <c r="Q431"/>
  <c r="Q432"/>
  <c r="Q433"/>
  <c r="Q434"/>
  <c r="Q435"/>
  <c r="Q436"/>
  <c r="Q437"/>
  <c r="Q438"/>
  <c r="Q439"/>
  <c r="Q444"/>
  <c r="Q449"/>
  <c r="Q454"/>
  <c r="Q218"/>
  <c r="Q219"/>
  <c r="Q220"/>
  <c r="Q221"/>
  <c r="Q222"/>
  <c r="Q223"/>
  <c r="Q224"/>
  <c r="Q225"/>
  <c r="Q230"/>
  <c r="Q235"/>
  <c r="Q240"/>
  <c r="Q245"/>
  <c r="Q246"/>
  <c r="Q247"/>
  <c r="Q248"/>
  <c r="Q249"/>
  <c r="Q250"/>
  <c r="Q251"/>
  <c r="Q252"/>
  <c r="Q253"/>
  <c r="Q254"/>
  <c r="Q255"/>
  <c r="Q256"/>
  <c r="Q261"/>
  <c r="Q266"/>
  <c r="Q271"/>
  <c r="Q276"/>
  <c r="Q277"/>
  <c r="Q278"/>
  <c r="Q279"/>
  <c r="Q280"/>
  <c r="Q281"/>
  <c r="Q282"/>
  <c r="Q283"/>
  <c r="Q284"/>
  <c r="Q285"/>
  <c r="Q286"/>
  <c r="Q287"/>
  <c r="Q292"/>
  <c r="Q302"/>
  <c r="Q307"/>
  <c r="Q308"/>
  <c r="Q309"/>
  <c r="Q310"/>
  <c r="Q311"/>
  <c r="Q312"/>
  <c r="Q313"/>
  <c r="Q314"/>
  <c r="Q315"/>
  <c r="Q316"/>
  <c r="Q317"/>
  <c r="Q318"/>
  <c r="Q323"/>
  <c r="Q328"/>
  <c r="Q333"/>
  <c r="Q338"/>
  <c r="Q339"/>
  <c r="Q340"/>
  <c r="Q341"/>
  <c r="Q342"/>
  <c r="Q343"/>
  <c r="Q344"/>
  <c r="Q345"/>
  <c r="Q346"/>
  <c r="Q347"/>
  <c r="Q348"/>
  <c r="Q353"/>
  <c r="Q358"/>
  <c r="Q363"/>
  <c r="Q368"/>
  <c r="Q369"/>
  <c r="Q370"/>
  <c r="Q371"/>
  <c r="Q372"/>
  <c r="Q373"/>
  <c r="Q374"/>
  <c r="Q375"/>
  <c r="Q376"/>
  <c r="Q377"/>
  <c r="Q378"/>
  <c r="Q379"/>
  <c r="Q384"/>
  <c r="Q389"/>
  <c r="Q394"/>
  <c r="H11"/>
  <c r="H12"/>
  <c r="Q13"/>
  <c r="H14"/>
  <c r="H15"/>
  <c r="H16"/>
  <c r="H17"/>
  <c r="Q18"/>
  <c r="H19"/>
  <c r="H20"/>
  <c r="H21"/>
  <c r="H22"/>
  <c r="Q23"/>
  <c r="H24"/>
  <c r="H25"/>
  <c r="H26"/>
  <c r="H27"/>
  <c r="Q28"/>
  <c r="Q29"/>
  <c r="Q30"/>
  <c r="Q32"/>
  <c r="Q33"/>
  <c r="Q34"/>
  <c r="Q35"/>
  <c r="Q36"/>
  <c r="Q37"/>
  <c r="Q38"/>
  <c r="Q39"/>
  <c r="Q40"/>
  <c r="Q45"/>
  <c r="Q50"/>
  <c r="Q55"/>
  <c r="Q60"/>
  <c r="Q61"/>
  <c r="Q62"/>
  <c r="Q63"/>
  <c r="Q64"/>
  <c r="Q65"/>
  <c r="Q66"/>
  <c r="Q67"/>
  <c r="Q68"/>
  <c r="Q69"/>
  <c r="Q70"/>
  <c r="Q71"/>
  <c r="Q76"/>
  <c r="Q81"/>
  <c r="Q86"/>
  <c r="Q91"/>
  <c r="Q92"/>
  <c r="Q93"/>
  <c r="Q94"/>
  <c r="Q95"/>
  <c r="Q96"/>
  <c r="Q97"/>
  <c r="Q98"/>
  <c r="Q99"/>
  <c r="Q100"/>
  <c r="Q101"/>
  <c r="Q102"/>
  <c r="Q107"/>
  <c r="Q112"/>
  <c r="Q117"/>
  <c r="Q122"/>
  <c r="Q123"/>
  <c r="Q124"/>
  <c r="Q125"/>
  <c r="Q126"/>
  <c r="Q127"/>
  <c r="Q128"/>
  <c r="Q129"/>
  <c r="Q130"/>
  <c r="Q131"/>
  <c r="Q132"/>
  <c r="Q133"/>
  <c r="Q138"/>
  <c r="Q143"/>
  <c r="Q148"/>
  <c r="Q153"/>
  <c r="Q154"/>
  <c r="Q155"/>
  <c r="Q156"/>
  <c r="Q157"/>
  <c r="Q158"/>
  <c r="Q159"/>
  <c r="Q160"/>
  <c r="Q161"/>
  <c r="Q162"/>
  <c r="Q163"/>
  <c r="Q168"/>
  <c r="Q173"/>
  <c r="Q178"/>
  <c r="Q183"/>
  <c r="Q184"/>
  <c r="Q185"/>
  <c r="Q186"/>
  <c r="Q187"/>
  <c r="Q188"/>
  <c r="Q189"/>
  <c r="Q190"/>
  <c r="Q191"/>
  <c r="Q192"/>
  <c r="Q193"/>
  <c r="Q194"/>
  <c r="Q199"/>
  <c r="Q204"/>
  <c r="Q209"/>
  <c r="Q214"/>
  <c r="Q215"/>
  <c r="Q217"/>
  <c r="J9"/>
  <c r="K9"/>
  <c r="P9"/>
  <c r="F7" i="10"/>
  <c r="D71" l="1"/>
  <c r="D14"/>
  <c r="J22"/>
  <c r="K25"/>
  <c r="P9"/>
  <c r="O18"/>
  <c r="T12" i="9"/>
  <c r="C79" i="10"/>
  <c r="B13"/>
  <c r="B17"/>
  <c r="B25"/>
  <c r="B84"/>
  <c r="C9"/>
  <c r="C22"/>
  <c r="C81"/>
  <c r="C25"/>
  <c r="D8"/>
  <c r="D13"/>
  <c r="D72"/>
  <c r="C24"/>
  <c r="C23"/>
  <c r="C82"/>
  <c r="D22"/>
  <c r="C20"/>
  <c r="D20"/>
  <c r="B18"/>
  <c r="B19"/>
  <c r="C78"/>
  <c r="D18"/>
  <c r="D77"/>
  <c r="D19"/>
  <c r="D17"/>
  <c r="D76"/>
  <c r="C15"/>
  <c r="C74"/>
  <c r="D73"/>
  <c r="C12"/>
  <c r="C10"/>
  <c r="D69"/>
  <c r="B7"/>
  <c r="C7"/>
  <c r="C66"/>
  <c r="D23"/>
  <c r="D25"/>
  <c r="D84"/>
  <c r="E7"/>
  <c r="E66"/>
  <c r="E67"/>
  <c r="E9"/>
  <c r="E68"/>
  <c r="E10"/>
  <c r="E13"/>
  <c r="E14"/>
  <c r="E17"/>
  <c r="E18"/>
  <c r="E19"/>
  <c r="E78"/>
  <c r="E20"/>
  <c r="E79"/>
  <c r="E22"/>
  <c r="E81"/>
  <c r="E24"/>
  <c r="E25"/>
  <c r="F8"/>
  <c r="F9"/>
  <c r="F10"/>
  <c r="F69"/>
  <c r="F12"/>
  <c r="F13"/>
  <c r="F72"/>
  <c r="F14"/>
  <c r="F73"/>
  <c r="F15"/>
  <c r="F18"/>
  <c r="F77"/>
  <c r="F19"/>
  <c r="F78"/>
  <c r="F79"/>
  <c r="F81"/>
  <c r="F23"/>
  <c r="F82"/>
  <c r="F83"/>
  <c r="F25"/>
  <c r="F84"/>
  <c r="G7"/>
  <c r="G66"/>
  <c r="G8"/>
  <c r="G67"/>
  <c r="G9"/>
  <c r="G68"/>
  <c r="G10"/>
  <c r="G69"/>
  <c r="G71"/>
  <c r="G13"/>
  <c r="G72"/>
  <c r="G74"/>
  <c r="G76"/>
  <c r="G18"/>
  <c r="G77"/>
  <c r="G19"/>
  <c r="G78"/>
  <c r="G22"/>
  <c r="G24"/>
  <c r="G25"/>
  <c r="M7"/>
  <c r="M8"/>
  <c r="M9"/>
  <c r="M10"/>
  <c r="M12"/>
  <c r="M13"/>
  <c r="M14"/>
  <c r="M15"/>
  <c r="I13"/>
  <c r="J7"/>
  <c r="L10"/>
  <c r="L19"/>
  <c r="D428" i="9"/>
  <c r="N53" i="10" s="1"/>
  <c r="O20"/>
  <c r="M18"/>
  <c r="M19"/>
  <c r="M20"/>
  <c r="M25"/>
  <c r="I7"/>
  <c r="I8"/>
  <c r="I9"/>
  <c r="I10"/>
  <c r="I12"/>
  <c r="I14"/>
  <c r="I15"/>
  <c r="I18"/>
  <c r="I19"/>
  <c r="I20"/>
  <c r="I23"/>
  <c r="I25"/>
  <c r="J8"/>
  <c r="J9"/>
  <c r="J10"/>
  <c r="J17"/>
  <c r="J18"/>
  <c r="J19"/>
  <c r="J24"/>
  <c r="J25"/>
  <c r="K7"/>
  <c r="K8"/>
  <c r="K9"/>
  <c r="K10"/>
  <c r="K13"/>
  <c r="K14"/>
  <c r="K15"/>
  <c r="K18"/>
  <c r="K19"/>
  <c r="K20"/>
  <c r="K23"/>
  <c r="L7"/>
  <c r="L9"/>
  <c r="L17"/>
  <c r="L18"/>
  <c r="L22"/>
  <c r="L24"/>
  <c r="L25"/>
  <c r="P7"/>
  <c r="P8"/>
  <c r="P10"/>
  <c r="P15"/>
  <c r="P17"/>
  <c r="P18"/>
  <c r="P19"/>
  <c r="P22"/>
  <c r="P24"/>
  <c r="P25"/>
  <c r="N7"/>
  <c r="N8"/>
  <c r="N9"/>
  <c r="N10"/>
  <c r="N14"/>
  <c r="N15"/>
  <c r="N17"/>
  <c r="N18"/>
  <c r="N19"/>
  <c r="N22"/>
  <c r="O7"/>
  <c r="O12"/>
  <c r="O13"/>
  <c r="O23"/>
  <c r="O25"/>
  <c r="H7"/>
  <c r="H8"/>
  <c r="D7"/>
  <c r="Q428" i="9"/>
  <c r="E23" i="10"/>
  <c r="E82"/>
  <c r="G23"/>
  <c r="G82"/>
  <c r="J23"/>
  <c r="L23"/>
  <c r="P23"/>
  <c r="F22"/>
  <c r="G81"/>
  <c r="M22"/>
  <c r="I22"/>
  <c r="K22"/>
  <c r="G20"/>
  <c r="G79"/>
  <c r="J20"/>
  <c r="L20"/>
  <c r="P20"/>
  <c r="N20"/>
  <c r="G14"/>
  <c r="G73"/>
  <c r="J14"/>
  <c r="L14"/>
  <c r="J13"/>
  <c r="L13"/>
  <c r="P13"/>
  <c r="N13"/>
  <c r="F17"/>
  <c r="F76"/>
  <c r="M17"/>
  <c r="I17"/>
  <c r="K17"/>
  <c r="N23"/>
  <c r="N24"/>
  <c r="N25"/>
  <c r="O8"/>
  <c r="O9"/>
  <c r="O10"/>
  <c r="O14"/>
  <c r="O17"/>
  <c r="O19"/>
  <c r="O22"/>
  <c r="B14"/>
  <c r="D66"/>
  <c r="F66"/>
  <c r="C67"/>
  <c r="D24"/>
  <c r="D83"/>
  <c r="E12"/>
  <c r="E15"/>
  <c r="E74"/>
  <c r="F71"/>
  <c r="F24"/>
  <c r="G12"/>
  <c r="G15"/>
  <c r="G83"/>
  <c r="M24"/>
  <c r="I24"/>
  <c r="J12"/>
  <c r="J15"/>
  <c r="K24"/>
  <c r="L12"/>
  <c r="L15"/>
  <c r="P12"/>
  <c r="N12"/>
  <c r="O15"/>
  <c r="O24"/>
  <c r="H74"/>
  <c r="D58" i="9"/>
  <c r="B52" i="10" s="1"/>
  <c r="B83"/>
  <c r="D337" i="9"/>
  <c r="Q337" s="1"/>
  <c r="D398"/>
  <c r="D418"/>
  <c r="N43" i="10" s="1"/>
  <c r="L144" i="9"/>
  <c r="E105" i="10" s="1"/>
  <c r="D201" i="9"/>
  <c r="Q201" s="1"/>
  <c r="D456"/>
  <c r="Q456" s="1"/>
  <c r="D10"/>
  <c r="H36" i="10" s="1"/>
  <c r="R144" i="9"/>
  <c r="D275"/>
  <c r="I53" i="10" s="1"/>
  <c r="D306" i="9"/>
  <c r="D319"/>
  <c r="K35" i="10" s="1"/>
  <c r="D320" i="9"/>
  <c r="D321"/>
  <c r="K37" i="10" s="1"/>
  <c r="D322" i="9"/>
  <c r="D324"/>
  <c r="D325"/>
  <c r="D326"/>
  <c r="D327"/>
  <c r="D329"/>
  <c r="D330"/>
  <c r="D331"/>
  <c r="D332"/>
  <c r="D334"/>
  <c r="K50" i="10" s="1"/>
  <c r="D335" i="9"/>
  <c r="D336"/>
  <c r="K52" i="10" s="1"/>
  <c r="L17" i="9"/>
  <c r="L9"/>
  <c r="H95" i="10" s="1"/>
  <c r="D87" i="9"/>
  <c r="Q87" s="1"/>
  <c r="L114"/>
  <c r="D106" i="10" s="1"/>
  <c r="C50"/>
  <c r="P53"/>
  <c r="Q398" i="9"/>
  <c r="G41" i="10"/>
  <c r="H19"/>
  <c r="D77" i="9"/>
  <c r="D171"/>
  <c r="Q171" s="1"/>
  <c r="D181"/>
  <c r="F42" i="10"/>
  <c r="H24"/>
  <c r="H22"/>
  <c r="H12"/>
  <c r="H9"/>
  <c r="H77"/>
  <c r="H67"/>
  <c r="D43" i="9"/>
  <c r="B71" i="10"/>
  <c r="B72"/>
  <c r="D48" i="9"/>
  <c r="B42" i="10" s="1"/>
  <c r="B76"/>
  <c r="B77"/>
  <c r="D53" i="9"/>
  <c r="L104"/>
  <c r="D96" i="10" s="1"/>
  <c r="L134" i="9"/>
  <c r="E95" i="10" s="1"/>
  <c r="L151" i="9"/>
  <c r="E112" i="10" s="1"/>
  <c r="D195" i="9"/>
  <c r="L195"/>
  <c r="G95" i="10" s="1"/>
  <c r="D196" i="9"/>
  <c r="Q196" s="1"/>
  <c r="L196"/>
  <c r="D197"/>
  <c r="L197"/>
  <c r="G97" i="10" s="1"/>
  <c r="D198" i="9"/>
  <c r="L198"/>
  <c r="D200"/>
  <c r="L200"/>
  <c r="L201"/>
  <c r="G101" i="10" s="1"/>
  <c r="D202" i="9"/>
  <c r="L202"/>
  <c r="D203"/>
  <c r="L203"/>
  <c r="G103" i="10" s="1"/>
  <c r="D205" i="9"/>
  <c r="L205"/>
  <c r="G105" i="10" s="1"/>
  <c r="D206" i="9"/>
  <c r="Q206" s="1"/>
  <c r="L206"/>
  <c r="D207"/>
  <c r="L207"/>
  <c r="G107" i="10" s="1"/>
  <c r="D208" i="9"/>
  <c r="L208"/>
  <c r="D210"/>
  <c r="G50" i="10" s="1"/>
  <c r="L210" i="9"/>
  <c r="D211"/>
  <c r="L211"/>
  <c r="D212"/>
  <c r="Q212" s="1"/>
  <c r="L212"/>
  <c r="D213"/>
  <c r="L213"/>
  <c r="D257"/>
  <c r="I35" i="10" s="1"/>
  <c r="D258" i="9"/>
  <c r="D259"/>
  <c r="I37" i="10" s="1"/>
  <c r="D260" i="9"/>
  <c r="D262"/>
  <c r="D263"/>
  <c r="D264"/>
  <c r="D265"/>
  <c r="D267"/>
  <c r="I45" i="10" s="1"/>
  <c r="D268" i="9"/>
  <c r="D269"/>
  <c r="I47" i="10" s="1"/>
  <c r="D270" i="9"/>
  <c r="D272"/>
  <c r="D273"/>
  <c r="D274"/>
  <c r="D367"/>
  <c r="L53" i="10" s="1"/>
  <c r="D380" i="9"/>
  <c r="D381"/>
  <c r="D382"/>
  <c r="D383"/>
  <c r="D385"/>
  <c r="P40" i="10" s="1"/>
  <c r="D386" i="9"/>
  <c r="D387"/>
  <c r="P42" i="10" s="1"/>
  <c r="D388" i="9"/>
  <c r="D390"/>
  <c r="D391"/>
  <c r="D392"/>
  <c r="D393"/>
  <c r="D395"/>
  <c r="P50" i="10" s="1"/>
  <c r="D396" i="9"/>
  <c r="D397"/>
  <c r="P52" i="10" s="1"/>
  <c r="D448" i="9"/>
  <c r="O43" i="10" s="1"/>
  <c r="C40"/>
  <c r="Q77" i="9"/>
  <c r="F52" i="10"/>
  <c r="Q181" i="9"/>
  <c r="J53" i="10"/>
  <c r="Q306" i="9"/>
  <c r="R104"/>
  <c r="R134"/>
  <c r="D26"/>
  <c r="H52" i="10" s="1"/>
  <c r="H72"/>
  <c r="D72" i="9"/>
  <c r="C35" i="10" s="1"/>
  <c r="C8"/>
  <c r="D74" i="9"/>
  <c r="C68" i="10"/>
  <c r="C69"/>
  <c r="C71"/>
  <c r="C13"/>
  <c r="C72"/>
  <c r="C14"/>
  <c r="D79" i="9"/>
  <c r="C73" i="10"/>
  <c r="C17"/>
  <c r="D82" i="9"/>
  <c r="Q82" s="1"/>
  <c r="C76" i="10"/>
  <c r="C18"/>
  <c r="C77"/>
  <c r="C19"/>
  <c r="D84" i="9"/>
  <c r="L88"/>
  <c r="C83" i="10"/>
  <c r="L89" i="9"/>
  <c r="C112" i="10" s="1"/>
  <c r="C84"/>
  <c r="L90" i="9"/>
  <c r="L103"/>
  <c r="D95" i="10" s="1"/>
  <c r="D67"/>
  <c r="D9"/>
  <c r="D68"/>
  <c r="L105" i="9"/>
  <c r="D10" i="10"/>
  <c r="L106" i="9"/>
  <c r="D12" i="10"/>
  <c r="L108" i="9"/>
  <c r="L109"/>
  <c r="D101" i="10" s="1"/>
  <c r="L110" i="9"/>
  <c r="D102" i="10" s="1"/>
  <c r="D15"/>
  <c r="D74"/>
  <c r="L111" i="9"/>
  <c r="L113"/>
  <c r="D78" i="10"/>
  <c r="L115" i="9"/>
  <c r="D79" i="10"/>
  <c r="L116" i="9"/>
  <c r="D81" i="10"/>
  <c r="L118" i="9"/>
  <c r="D82" i="10"/>
  <c r="L119" i="9"/>
  <c r="D111" i="10" s="1"/>
  <c r="L120" i="9"/>
  <c r="D112" i="10" s="1"/>
  <c r="D121" i="9"/>
  <c r="L121"/>
  <c r="R121" s="1"/>
  <c r="L139"/>
  <c r="E100" i="10" s="1"/>
  <c r="L149" i="9"/>
  <c r="R149" s="1"/>
  <c r="D166"/>
  <c r="F37" i="10" s="1"/>
  <c r="D176" i="9"/>
  <c r="Q176" s="1"/>
  <c r="D226"/>
  <c r="M35" i="10" s="1"/>
  <c r="D227" i="9"/>
  <c r="Q227" s="1"/>
  <c r="D228"/>
  <c r="M37" i="10" s="1"/>
  <c r="D229" i="9"/>
  <c r="D231"/>
  <c r="D233"/>
  <c r="D234"/>
  <c r="M43" i="10" s="1"/>
  <c r="D236" i="9"/>
  <c r="Q236" s="1"/>
  <c r="D237"/>
  <c r="M46" i="10" s="1"/>
  <c r="D238" i="9"/>
  <c r="D239"/>
  <c r="M48" i="10" s="1"/>
  <c r="D241" i="9"/>
  <c r="D242"/>
  <c r="D243"/>
  <c r="D244"/>
  <c r="D288"/>
  <c r="D289"/>
  <c r="D290"/>
  <c r="D291"/>
  <c r="D293"/>
  <c r="J40" i="10" s="1"/>
  <c r="D294" i="9"/>
  <c r="D295"/>
  <c r="J42" i="10" s="1"/>
  <c r="D296" i="9"/>
  <c r="Q296" s="1"/>
  <c r="D298"/>
  <c r="J45" i="10" s="1"/>
  <c r="D299" i="9"/>
  <c r="D300"/>
  <c r="D301"/>
  <c r="D303"/>
  <c r="J50" i="10" s="1"/>
  <c r="D304" i="9"/>
  <c r="D305"/>
  <c r="J52" i="10" s="1"/>
  <c r="D349" i="9"/>
  <c r="L35" i="10" s="1"/>
  <c r="D350" i="9"/>
  <c r="D351"/>
  <c r="L37" i="10" s="1"/>
  <c r="D352" i="9"/>
  <c r="D354"/>
  <c r="D355"/>
  <c r="D356"/>
  <c r="D357"/>
  <c r="Q357" s="1"/>
  <c r="D359"/>
  <c r="L45" i="10" s="1"/>
  <c r="D360" i="9"/>
  <c r="D361"/>
  <c r="L47" i="10" s="1"/>
  <c r="D362" i="9"/>
  <c r="D364"/>
  <c r="D365"/>
  <c r="D366"/>
  <c r="D443"/>
  <c r="D453"/>
  <c r="D458"/>
  <c r="D9"/>
  <c r="H35" i="10" s="1"/>
  <c r="Q72" i="9"/>
  <c r="F47" i="10"/>
  <c r="B37"/>
  <c r="Q43" i="9"/>
  <c r="B47" i="10"/>
  <c r="Q53" i="9"/>
  <c r="G36" i="10"/>
  <c r="G46"/>
  <c r="I43"/>
  <c r="Q265" i="9"/>
  <c r="K43" i="10"/>
  <c r="Q327" i="9"/>
  <c r="P43" i="10"/>
  <c r="Q388" i="9"/>
  <c r="H20" i="10"/>
  <c r="H15"/>
  <c r="H82"/>
  <c r="H79"/>
  <c r="L21" i="9"/>
  <c r="H107" i="10" s="1"/>
  <c r="D41" i="9"/>
  <c r="B35" i="10" s="1"/>
  <c r="L41" i="9"/>
  <c r="B95" i="10" s="1"/>
  <c r="B8"/>
  <c r="D42" i="9"/>
  <c r="B36" i="10" s="1"/>
  <c r="B67"/>
  <c r="L42" i="9"/>
  <c r="B96" i="10" s="1"/>
  <c r="B9"/>
  <c r="B68"/>
  <c r="L43" i="9"/>
  <c r="B97" i="10" s="1"/>
  <c r="B10"/>
  <c r="D44" i="9"/>
  <c r="Q44" s="1"/>
  <c r="B69" i="10"/>
  <c r="L44" i="9"/>
  <c r="B12" i="10"/>
  <c r="D46" i="9"/>
  <c r="L46"/>
  <c r="D47"/>
  <c r="Q47" s="1"/>
  <c r="L47"/>
  <c r="B101" i="10" s="1"/>
  <c r="B73"/>
  <c r="L48" i="9"/>
  <c r="B102" i="10" s="1"/>
  <c r="B15"/>
  <c r="D49" i="9"/>
  <c r="B74" i="10"/>
  <c r="L49" i="9"/>
  <c r="B103" i="10" s="1"/>
  <c r="D51" i="9"/>
  <c r="L51"/>
  <c r="B105" i="10" s="1"/>
  <c r="D52" i="9"/>
  <c r="L52"/>
  <c r="B106" i="10" s="1"/>
  <c r="B78"/>
  <c r="L53" i="9"/>
  <c r="B107" i="10" s="1"/>
  <c r="B20"/>
  <c r="D54" i="9"/>
  <c r="B79" i="10"/>
  <c r="L54" i="9"/>
  <c r="B22" i="10"/>
  <c r="D56" i="9"/>
  <c r="B50" i="10" s="1"/>
  <c r="B81"/>
  <c r="L56" i="9"/>
  <c r="B23" i="10"/>
  <c r="D57" i="9"/>
  <c r="B82" i="10"/>
  <c r="L57" i="9"/>
  <c r="B111" i="10" s="1"/>
  <c r="B24"/>
  <c r="L58" i="9"/>
  <c r="B112" i="10" s="1"/>
  <c r="D59" i="9"/>
  <c r="L59"/>
  <c r="R59" s="1"/>
  <c r="E8" i="10"/>
  <c r="L136" i="9"/>
  <c r="E69" i="10"/>
  <c r="E71"/>
  <c r="E72"/>
  <c r="E73"/>
  <c r="L141" i="9"/>
  <c r="E76" i="10"/>
  <c r="E77"/>
  <c r="L146" i="9"/>
  <c r="L150"/>
  <c r="E83" i="10"/>
  <c r="E84"/>
  <c r="L152" i="9"/>
  <c r="F67" i="10"/>
  <c r="F68"/>
  <c r="D169" i="9"/>
  <c r="F74" i="10"/>
  <c r="D174" i="9"/>
  <c r="D179"/>
  <c r="L182"/>
  <c r="L25"/>
  <c r="H111" i="10" s="1"/>
  <c r="D410" i="9"/>
  <c r="D411"/>
  <c r="N36" i="10" s="1"/>
  <c r="D412" i="9"/>
  <c r="D413"/>
  <c r="D415"/>
  <c r="N40" i="10" s="1"/>
  <c r="D416" i="9"/>
  <c r="Q416" s="1"/>
  <c r="D417"/>
  <c r="N42" i="10" s="1"/>
  <c r="D420" i="9"/>
  <c r="D421"/>
  <c r="N46" i="10" s="1"/>
  <c r="D422" i="9"/>
  <c r="D423"/>
  <c r="D425"/>
  <c r="N50" i="10" s="1"/>
  <c r="D426" i="9"/>
  <c r="Q426" s="1"/>
  <c r="D427"/>
  <c r="N52" i="10" s="1"/>
  <c r="B38"/>
  <c r="B113"/>
  <c r="R105" i="9"/>
  <c r="D97" i="10"/>
  <c r="D100"/>
  <c r="R108" i="9"/>
  <c r="R110"/>
  <c r="R113"/>
  <c r="D105" i="10"/>
  <c r="D107"/>
  <c r="R115" i="9"/>
  <c r="D110" i="10"/>
  <c r="R118" i="9"/>
  <c r="D113" i="10"/>
  <c r="R211" i="9"/>
  <c r="G111" i="10"/>
  <c r="G113"/>
  <c r="R213" i="9"/>
  <c r="R197"/>
  <c r="R203"/>
  <c r="R205"/>
  <c r="R207"/>
  <c r="Q226"/>
  <c r="Q269"/>
  <c r="Q334"/>
  <c r="Q349"/>
  <c r="Q351"/>
  <c r="D232"/>
  <c r="D164"/>
  <c r="H18" i="10"/>
  <c r="H10"/>
  <c r="H81"/>
  <c r="H71"/>
  <c r="L72" i="9"/>
  <c r="L73"/>
  <c r="L74"/>
  <c r="L75"/>
  <c r="L77"/>
  <c r="L78"/>
  <c r="L79"/>
  <c r="L80"/>
  <c r="L82"/>
  <c r="L83"/>
  <c r="L84"/>
  <c r="L85"/>
  <c r="L87"/>
  <c r="D104"/>
  <c r="D105"/>
  <c r="D106"/>
  <c r="D108"/>
  <c r="D109"/>
  <c r="D110"/>
  <c r="D111"/>
  <c r="D113"/>
  <c r="D114"/>
  <c r="D115"/>
  <c r="D116"/>
  <c r="D118"/>
  <c r="D119"/>
  <c r="D120"/>
  <c r="L164"/>
  <c r="L165"/>
  <c r="L166"/>
  <c r="L167"/>
  <c r="L169"/>
  <c r="L170"/>
  <c r="L171"/>
  <c r="L172"/>
  <c r="L174"/>
  <c r="L175"/>
  <c r="L176"/>
  <c r="L177"/>
  <c r="L179"/>
  <c r="L180"/>
  <c r="L181"/>
  <c r="H66" i="10"/>
  <c r="H25"/>
  <c r="H13"/>
  <c r="H83"/>
  <c r="H78"/>
  <c r="H68"/>
  <c r="D27" i="9"/>
  <c r="H53" i="10" s="1"/>
  <c r="D25" i="9"/>
  <c r="H51" i="10" s="1"/>
  <c r="D22" i="9"/>
  <c r="D14"/>
  <c r="H40" i="10" s="1"/>
  <c r="L26" i="9"/>
  <c r="H112" i="10" s="1"/>
  <c r="L22" i="9"/>
  <c r="H108" i="10" s="1"/>
  <c r="L16" i="9"/>
  <c r="L14"/>
  <c r="L12"/>
  <c r="H98" i="10" s="1"/>
  <c r="L10" i="9"/>
  <c r="H96" i="10" s="1"/>
  <c r="H23"/>
  <c r="Q25" i="9"/>
  <c r="H76" i="10"/>
  <c r="D17" i="9"/>
  <c r="H43" i="10" s="1"/>
  <c r="D11" i="9"/>
  <c r="L24"/>
  <c r="L20"/>
  <c r="H106" i="10" s="1"/>
  <c r="I229" i="9"/>
  <c r="J228"/>
  <c r="K228" s="1"/>
  <c r="L228" s="1"/>
  <c r="M228" s="1"/>
  <c r="N228" s="1"/>
  <c r="O228" s="1"/>
  <c r="B66" i="10"/>
  <c r="Q58" i="9"/>
  <c r="Q397"/>
  <c r="Q361"/>
  <c r="Q359"/>
  <c r="Q305"/>
  <c r="Q239"/>
  <c r="Q237"/>
  <c r="Q234"/>
  <c r="Q228"/>
  <c r="Q417"/>
  <c r="R53"/>
  <c r="R43"/>
  <c r="J227"/>
  <c r="K227" s="1"/>
  <c r="L227" s="1"/>
  <c r="M227" s="1"/>
  <c r="N227" s="1"/>
  <c r="O227" s="1"/>
  <c r="Z47" i="10"/>
  <c r="Z51"/>
  <c r="S48"/>
  <c r="Y42"/>
  <c r="S52"/>
  <c r="S45"/>
  <c r="AA36"/>
  <c r="T40"/>
  <c r="S41"/>
  <c r="R45"/>
  <c r="T51"/>
  <c r="R43"/>
  <c r="S40"/>
  <c r="S36"/>
  <c r="AA43"/>
  <c r="AA40"/>
  <c r="S42"/>
  <c r="Y38"/>
  <c r="AA35"/>
  <c r="S46"/>
  <c r="Z41"/>
  <c r="Z38"/>
  <c r="T50"/>
  <c r="AA45"/>
  <c r="T45"/>
  <c r="Y41"/>
  <c r="R40"/>
  <c r="Z42"/>
  <c r="Z35"/>
  <c r="AA38"/>
  <c r="Z36"/>
  <c r="T36"/>
  <c r="AA47"/>
  <c r="Z45"/>
  <c r="R35"/>
  <c r="Z48"/>
  <c r="AA41"/>
  <c r="R50"/>
  <c r="R42"/>
  <c r="R47"/>
  <c r="R51"/>
  <c r="S37"/>
  <c r="T46"/>
  <c r="Z50"/>
  <c r="S38"/>
  <c r="S50"/>
  <c r="AA53"/>
  <c r="Y45"/>
  <c r="Y48"/>
  <c r="Y53"/>
  <c r="AA52"/>
  <c r="S43"/>
  <c r="AA48"/>
  <c r="R38"/>
  <c r="R46"/>
  <c r="T38"/>
  <c r="AA50"/>
  <c r="AA42"/>
  <c r="R53"/>
  <c r="R41"/>
  <c r="T43"/>
  <c r="Z43"/>
  <c r="Z37"/>
  <c r="Y35"/>
  <c r="Y50"/>
  <c r="R36"/>
  <c r="Y52"/>
  <c r="AA51"/>
  <c r="Y36"/>
  <c r="Y37"/>
  <c r="Y47"/>
  <c r="T42"/>
  <c r="T52"/>
  <c r="Y40"/>
  <c r="T35"/>
  <c r="T48"/>
  <c r="S51"/>
  <c r="Z40"/>
  <c r="AA37"/>
  <c r="S53"/>
  <c r="R52"/>
  <c r="Y43"/>
  <c r="R37"/>
  <c r="S47"/>
  <c r="Z53"/>
  <c r="R48"/>
  <c r="T37"/>
  <c r="AA46"/>
  <c r="Z46"/>
  <c r="T53"/>
  <c r="T47"/>
  <c r="T41"/>
  <c r="Z52"/>
  <c r="Y46"/>
  <c r="S35"/>
  <c r="Y51"/>
  <c r="Q367" i="9" l="1"/>
  <c r="K53" i="10"/>
  <c r="R9" i="9"/>
  <c r="U12"/>
  <c r="V12" s="1"/>
  <c r="W12" s="1"/>
  <c r="X12" s="1"/>
  <c r="Y12" s="1"/>
  <c r="Z12" s="1"/>
  <c r="AA12" s="1"/>
  <c r="AB12" s="1"/>
  <c r="AC12" s="1"/>
  <c r="AD12" s="1"/>
  <c r="AE12" s="1"/>
  <c r="T14"/>
  <c r="R89"/>
  <c r="Q427"/>
  <c r="Q448"/>
  <c r="R49"/>
  <c r="Q295"/>
  <c r="Q387"/>
  <c r="Q48"/>
  <c r="Q385"/>
  <c r="Q298"/>
  <c r="Q257"/>
  <c r="M36" i="10"/>
  <c r="V36" s="1"/>
  <c r="R120" i="9"/>
  <c r="G52" i="10"/>
  <c r="M45"/>
  <c r="V45" s="1"/>
  <c r="E110"/>
  <c r="C45"/>
  <c r="Q418" i="9"/>
  <c r="R151"/>
  <c r="J43" i="10"/>
  <c r="R201" i="9"/>
  <c r="R109"/>
  <c r="Q275"/>
  <c r="O51" i="10"/>
  <c r="R47" i="9"/>
  <c r="R51"/>
  <c r="R57"/>
  <c r="Q425"/>
  <c r="Q259"/>
  <c r="Q303"/>
  <c r="Q321"/>
  <c r="Q395"/>
  <c r="Q42"/>
  <c r="Q56"/>
  <c r="Q26"/>
  <c r="R21"/>
  <c r="Q336"/>
  <c r="Q319"/>
  <c r="Q293"/>
  <c r="Q267"/>
  <c r="R195"/>
  <c r="L43" i="10"/>
  <c r="Q210" i="9"/>
  <c r="R114"/>
  <c r="R139"/>
  <c r="N41" i="10"/>
  <c r="Q10" i="9"/>
  <c r="Q421"/>
  <c r="Q331"/>
  <c r="K47" i="10"/>
  <c r="Q329" i="9"/>
  <c r="K45" i="10"/>
  <c r="K42"/>
  <c r="Q326" i="9"/>
  <c r="K40" i="10"/>
  <c r="Q324" i="9"/>
  <c r="K51" i="10"/>
  <c r="Q335" i="9"/>
  <c r="K46" i="10"/>
  <c r="Q330" i="9"/>
  <c r="K41" i="10"/>
  <c r="Q325" i="9"/>
  <c r="K38" i="10"/>
  <c r="Q322" i="9"/>
  <c r="K36" i="10"/>
  <c r="Q320" i="9"/>
  <c r="Q415"/>
  <c r="B41" i="10"/>
  <c r="Q166" i="9"/>
  <c r="R119"/>
  <c r="Q411"/>
  <c r="R58"/>
  <c r="Q9"/>
  <c r="P51" i="10"/>
  <c r="Q396" i="9"/>
  <c r="P46" i="10"/>
  <c r="Q391" i="9"/>
  <c r="P41" i="10"/>
  <c r="Q386" i="9"/>
  <c r="P36" i="10"/>
  <c r="Q381" i="9"/>
  <c r="I51" i="10"/>
  <c r="Q273" i="9"/>
  <c r="I46" i="10"/>
  <c r="Q268" i="9"/>
  <c r="I41" i="10"/>
  <c r="Q263" i="9"/>
  <c r="I36" i="10"/>
  <c r="Q258" i="9"/>
  <c r="G112" i="10"/>
  <c r="R212" i="9"/>
  <c r="G110" i="10"/>
  <c r="R210" i="9"/>
  <c r="G108" i="10"/>
  <c r="R208" i="9"/>
  <c r="G106" i="10"/>
  <c r="R206" i="9"/>
  <c r="G102" i="10"/>
  <c r="R202" i="9"/>
  <c r="G40" i="10"/>
  <c r="Q200" i="9"/>
  <c r="G38" i="10"/>
  <c r="Q198" i="9"/>
  <c r="G37" i="10"/>
  <c r="Q197" i="9"/>
  <c r="Q195"/>
  <c r="G35" i="10"/>
  <c r="P47"/>
  <c r="Q392" i="9"/>
  <c r="P45" i="10"/>
  <c r="Q390" i="9"/>
  <c r="P37" i="10"/>
  <c r="Q382" i="9"/>
  <c r="Q380"/>
  <c r="P35" i="10"/>
  <c r="W35" s="1"/>
  <c r="Q274" i="9"/>
  <c r="I52" i="10"/>
  <c r="I50"/>
  <c r="Q272" i="9"/>
  <c r="I42" i="10"/>
  <c r="Q264" i="9"/>
  <c r="I40" i="10"/>
  <c r="Q262" i="9"/>
  <c r="G48" i="10"/>
  <c r="Q208" i="9"/>
  <c r="G47" i="10"/>
  <c r="Q207" i="9"/>
  <c r="G45" i="10"/>
  <c r="Q205" i="9"/>
  <c r="G42" i="10"/>
  <c r="Q202" i="9"/>
  <c r="G100" i="10"/>
  <c r="R200" i="9"/>
  <c r="G98" i="10"/>
  <c r="R198" i="9"/>
  <c r="G96" i="10"/>
  <c r="R196" i="9"/>
  <c r="N51" i="10"/>
  <c r="L51"/>
  <c r="Q365" i="9"/>
  <c r="L48" i="10"/>
  <c r="Q362" i="9"/>
  <c r="L46" i="10"/>
  <c r="Q360" i="9"/>
  <c r="L41" i="10"/>
  <c r="Q355" i="9"/>
  <c r="L38" i="10"/>
  <c r="Q352" i="9"/>
  <c r="L36" i="10"/>
  <c r="Q350" i="9"/>
  <c r="J47" i="10"/>
  <c r="Q300" i="9"/>
  <c r="Q290"/>
  <c r="J37" i="10"/>
  <c r="Q288" i="9"/>
  <c r="J35" i="10"/>
  <c r="M52"/>
  <c r="Q243" i="9"/>
  <c r="M47" i="10"/>
  <c r="V47" s="1"/>
  <c r="Q238" i="9"/>
  <c r="M42" i="10"/>
  <c r="V42" s="1"/>
  <c r="Q233" i="9"/>
  <c r="R25"/>
  <c r="R52"/>
  <c r="L52" i="10"/>
  <c r="Q366" i="9"/>
  <c r="L50" i="10"/>
  <c r="Q364" i="9"/>
  <c r="L42" i="10"/>
  <c r="Q356" i="9"/>
  <c r="L40" i="10"/>
  <c r="Q354" i="9"/>
  <c r="J51" i="10"/>
  <c r="Q304" i="9"/>
  <c r="J46" i="10"/>
  <c r="Q299" i="9"/>
  <c r="J41" i="10"/>
  <c r="Q294" i="9"/>
  <c r="J36" i="10"/>
  <c r="Q289" i="9"/>
  <c r="M53" i="10"/>
  <c r="V53" s="1"/>
  <c r="Q244" i="9"/>
  <c r="M51" i="10"/>
  <c r="V51" s="1"/>
  <c r="Q242" i="9"/>
  <c r="M40" i="10"/>
  <c r="V40" s="1"/>
  <c r="Q231" i="9"/>
  <c r="C42" i="10"/>
  <c r="Q79" i="9"/>
  <c r="N47" i="10"/>
  <c r="Q422" i="9"/>
  <c r="N45" i="10"/>
  <c r="Q420" i="9"/>
  <c r="B51" i="10"/>
  <c r="Q57" i="9"/>
  <c r="B110" i="10"/>
  <c r="R56" i="9"/>
  <c r="B108" i="10"/>
  <c r="R54" i="9"/>
  <c r="B48" i="10"/>
  <c r="Q54" i="9"/>
  <c r="B46" i="10"/>
  <c r="Q52" i="9"/>
  <c r="B45" i="10"/>
  <c r="Q51" i="9"/>
  <c r="B98" i="10"/>
  <c r="R44" i="9"/>
  <c r="R41"/>
  <c r="N37" i="10"/>
  <c r="Q412" i="9"/>
  <c r="N35" i="10"/>
  <c r="Q410" i="9"/>
  <c r="F45" i="10"/>
  <c r="Q174" i="9"/>
  <c r="B53" i="10"/>
  <c r="Q59" i="9"/>
  <c r="B43" i="10"/>
  <c r="Q49" i="9"/>
  <c r="B100" i="10"/>
  <c r="R46" i="9"/>
  <c r="W40" i="10"/>
  <c r="U50"/>
  <c r="V35"/>
  <c r="W41"/>
  <c r="W45"/>
  <c r="U52"/>
  <c r="W53"/>
  <c r="W36"/>
  <c r="V43"/>
  <c r="V48"/>
  <c r="W46"/>
  <c r="W38"/>
  <c r="W52"/>
  <c r="W47"/>
  <c r="W42"/>
  <c r="W37"/>
  <c r="W51"/>
  <c r="W48"/>
  <c r="W43"/>
  <c r="W50"/>
  <c r="U36"/>
  <c r="V46"/>
  <c r="V52"/>
  <c r="V50"/>
  <c r="U35"/>
  <c r="V37"/>
  <c r="R22" i="9"/>
  <c r="U43" i="10"/>
  <c r="U53"/>
  <c r="U40"/>
  <c r="U51"/>
  <c r="C37"/>
  <c r="Q74" i="9"/>
  <c r="C47" i="10"/>
  <c r="Q84" i="9"/>
  <c r="R88"/>
  <c r="C111" i="10"/>
  <c r="R90" i="9"/>
  <c r="C113" i="10"/>
  <c r="R106" i="9"/>
  <c r="D98" i="10"/>
  <c r="D103"/>
  <c r="R111" i="9"/>
  <c r="D108" i="10"/>
  <c r="R116" i="9"/>
  <c r="D53" i="10"/>
  <c r="Q121" i="9"/>
  <c r="G43" i="10"/>
  <c r="Q203" i="9"/>
  <c r="G51" i="10"/>
  <c r="Q211" i="9"/>
  <c r="G53" i="10"/>
  <c r="Q213" i="9"/>
  <c r="M38" i="10"/>
  <c r="V38" s="1"/>
  <c r="Q229" i="9"/>
  <c r="M50" i="10"/>
  <c r="Q241" i="9"/>
  <c r="I38" i="10"/>
  <c r="Q260" i="9"/>
  <c r="I48" i="10"/>
  <c r="Q270" i="9"/>
  <c r="J38" i="10"/>
  <c r="Q291" i="9"/>
  <c r="J48" i="10"/>
  <c r="Q301" i="9"/>
  <c r="K48" i="10"/>
  <c r="Q332" i="9"/>
  <c r="P38" i="10"/>
  <c r="Q383" i="9"/>
  <c r="P48" i="10"/>
  <c r="Q393" i="9"/>
  <c r="Q413"/>
  <c r="N38" i="10"/>
  <c r="N48"/>
  <c r="Q423" i="9"/>
  <c r="R17"/>
  <c r="H103" i="10"/>
  <c r="Q46" i="9"/>
  <c r="B40" i="10"/>
  <c r="R136" i="9"/>
  <c r="E97" i="10"/>
  <c r="E102"/>
  <c r="R141" i="9"/>
  <c r="E107" i="10"/>
  <c r="R146" i="9"/>
  <c r="E111" i="10"/>
  <c r="R150" i="9"/>
  <c r="E113" i="10"/>
  <c r="R152" i="9"/>
  <c r="F40" i="10"/>
  <c r="Q169" i="9"/>
  <c r="F50" i="10"/>
  <c r="Q179" i="9"/>
  <c r="R182"/>
  <c r="F113" i="10"/>
  <c r="O38"/>
  <c r="Q443" i="9"/>
  <c r="Q453"/>
  <c r="O48" i="10"/>
  <c r="O53"/>
  <c r="Q458" i="9"/>
  <c r="R48"/>
  <c r="R42"/>
  <c r="H17" i="10"/>
  <c r="H14"/>
  <c r="D24" i="9"/>
  <c r="D12"/>
  <c r="H38" i="10" s="1"/>
  <c r="U38" s="1"/>
  <c r="H84"/>
  <c r="H73"/>
  <c r="H69"/>
  <c r="L11" i="9"/>
  <c r="D20"/>
  <c r="H46" i="10" s="1"/>
  <c r="U46" s="1"/>
  <c r="D73" i="9"/>
  <c r="D75"/>
  <c r="D78"/>
  <c r="D80"/>
  <c r="D83"/>
  <c r="D85"/>
  <c r="D88"/>
  <c r="D89"/>
  <c r="D90"/>
  <c r="D134"/>
  <c r="D135"/>
  <c r="L135"/>
  <c r="D136"/>
  <c r="D137"/>
  <c r="L137"/>
  <c r="D139"/>
  <c r="D140"/>
  <c r="L140"/>
  <c r="D141"/>
  <c r="D142"/>
  <c r="L142"/>
  <c r="D144"/>
  <c r="D145"/>
  <c r="L145"/>
  <c r="D146"/>
  <c r="D147"/>
  <c r="L147"/>
  <c r="D149"/>
  <c r="D150"/>
  <c r="D151"/>
  <c r="D152"/>
  <c r="D165"/>
  <c r="D167"/>
  <c r="D170"/>
  <c r="D172"/>
  <c r="D175"/>
  <c r="D177"/>
  <c r="D180"/>
  <c r="D182"/>
  <c r="D440"/>
  <c r="D441"/>
  <c r="D442"/>
  <c r="D445"/>
  <c r="D446"/>
  <c r="D447"/>
  <c r="D450"/>
  <c r="D451"/>
  <c r="D452"/>
  <c r="D455"/>
  <c r="D457"/>
  <c r="D103"/>
  <c r="D21"/>
  <c r="H47" i="10" s="1"/>
  <c r="U47" s="1"/>
  <c r="D19" i="9"/>
  <c r="H45" i="10" s="1"/>
  <c r="U45" s="1"/>
  <c r="D16" i="9"/>
  <c r="D15"/>
  <c r="L27"/>
  <c r="L19"/>
  <c r="L15"/>
  <c r="Q41"/>
  <c r="R103"/>
  <c r="F112" i="10"/>
  <c r="R181" i="9"/>
  <c r="F110" i="10"/>
  <c r="R179" i="9"/>
  <c r="F107" i="10"/>
  <c r="R176" i="9"/>
  <c r="F105" i="10"/>
  <c r="R174" i="9"/>
  <c r="R171"/>
  <c r="F102" i="10"/>
  <c r="F100"/>
  <c r="R169" i="9"/>
  <c r="F97" i="10"/>
  <c r="R166" i="9"/>
  <c r="R164"/>
  <c r="F95" i="10"/>
  <c r="D51"/>
  <c r="Q119" i="9"/>
  <c r="D48" i="10"/>
  <c r="Q116" i="9"/>
  <c r="D46" i="10"/>
  <c r="Q114" i="9"/>
  <c r="D43" i="10"/>
  <c r="Q111" i="9"/>
  <c r="D41" i="10"/>
  <c r="Q109" i="9"/>
  <c r="D38" i="10"/>
  <c r="Q106" i="9"/>
  <c r="D36" i="10"/>
  <c r="Q104" i="9"/>
  <c r="R85"/>
  <c r="C108" i="10"/>
  <c r="C106"/>
  <c r="R83" i="9"/>
  <c r="C103" i="10"/>
  <c r="R80" i="9"/>
  <c r="C101" i="10"/>
  <c r="R78" i="9"/>
  <c r="C98" i="10"/>
  <c r="R75" i="9"/>
  <c r="R73"/>
  <c r="C96" i="10"/>
  <c r="Q164" i="9"/>
  <c r="F35" i="10"/>
  <c r="F111"/>
  <c r="R180" i="9"/>
  <c r="F108" i="10"/>
  <c r="R177" i="9"/>
  <c r="R175"/>
  <c r="F106" i="10"/>
  <c r="F103"/>
  <c r="R172" i="9"/>
  <c r="F101" i="10"/>
  <c r="R170" i="9"/>
  <c r="R167"/>
  <c r="F98" i="10"/>
  <c r="F96"/>
  <c r="R165" i="9"/>
  <c r="D52" i="10"/>
  <c r="Q120" i="9"/>
  <c r="D50" i="10"/>
  <c r="Q118" i="9"/>
  <c r="D47" i="10"/>
  <c r="Q115" i="9"/>
  <c r="D45" i="10"/>
  <c r="Q113" i="9"/>
  <c r="D42" i="10"/>
  <c r="Q110" i="9"/>
  <c r="D40" i="10"/>
  <c r="Q108" i="9"/>
  <c r="D37" i="10"/>
  <c r="Q105" i="9"/>
  <c r="R87"/>
  <c r="C110" i="10"/>
  <c r="C107"/>
  <c r="R84" i="9"/>
  <c r="C105" i="10"/>
  <c r="R82" i="9"/>
  <c r="C102" i="10"/>
  <c r="R79" i="9"/>
  <c r="R77"/>
  <c r="C100" i="10"/>
  <c r="C97"/>
  <c r="R74" i="9"/>
  <c r="R72"/>
  <c r="C95" i="10"/>
  <c r="M41"/>
  <c r="V41" s="1"/>
  <c r="Q232" i="9"/>
  <c r="R12"/>
  <c r="H37" i="10"/>
  <c r="U37" s="1"/>
  <c r="Q11" i="9"/>
  <c r="H102" i="10"/>
  <c r="R16" i="9"/>
  <c r="H48" i="10"/>
  <c r="U48" s="1"/>
  <c r="Q22" i="9"/>
  <c r="R20"/>
  <c r="I231"/>
  <c r="J229"/>
  <c r="K229" s="1"/>
  <c r="L229" s="1"/>
  <c r="M229" s="1"/>
  <c r="N229" s="1"/>
  <c r="O229" s="1"/>
  <c r="H110" i="10"/>
  <c r="R24" i="9"/>
  <c r="H100" i="10"/>
  <c r="R14" i="9"/>
  <c r="Q17"/>
  <c r="R10"/>
  <c r="Q14"/>
  <c r="R26"/>
  <c r="Q27"/>
  <c r="U14" l="1"/>
  <c r="V14" s="1"/>
  <c r="W14" s="1"/>
  <c r="X14" s="1"/>
  <c r="Y14" s="1"/>
  <c r="Z14" s="1"/>
  <c r="AA14" s="1"/>
  <c r="AB14" s="1"/>
  <c r="AC14" s="1"/>
  <c r="AD14" s="1"/>
  <c r="AE14" s="1"/>
  <c r="T15"/>
  <c r="Q20"/>
  <c r="H105" i="10"/>
  <c r="R19" i="9"/>
  <c r="H41" i="10"/>
  <c r="U41" s="1"/>
  <c r="Q15" i="9"/>
  <c r="Q103"/>
  <c r="D35" i="10"/>
  <c r="O52"/>
  <c r="Q457" i="9"/>
  <c r="O47" i="10"/>
  <c r="Q452" i="9"/>
  <c r="O45" i="10"/>
  <c r="Q450" i="9"/>
  <c r="Q446"/>
  <c r="O41" i="10"/>
  <c r="O37"/>
  <c r="Q442" i="9"/>
  <c r="Q440"/>
  <c r="O35" i="10"/>
  <c r="F51"/>
  <c r="Q180" i="9"/>
  <c r="F46" i="10"/>
  <c r="Q175" i="9"/>
  <c r="F41" i="10"/>
  <c r="Q170" i="9"/>
  <c r="F36" i="10"/>
  <c r="Q165" i="9"/>
  <c r="E52" i="10"/>
  <c r="Q151" i="9"/>
  <c r="E50" i="10"/>
  <c r="Q149" i="9"/>
  <c r="E48" i="10"/>
  <c r="Q147" i="9"/>
  <c r="R145"/>
  <c r="E106" i="10"/>
  <c r="E45"/>
  <c r="Q144" i="9"/>
  <c r="E43" i="10"/>
  <c r="Q142" i="9"/>
  <c r="R140"/>
  <c r="E101" i="10"/>
  <c r="E40"/>
  <c r="Q139" i="9"/>
  <c r="E38" i="10"/>
  <c r="Q137" i="9"/>
  <c r="E96" i="10"/>
  <c r="R135" i="9"/>
  <c r="Q134"/>
  <c r="E35" i="10"/>
  <c r="C52"/>
  <c r="Q89" i="9"/>
  <c r="C48" i="10"/>
  <c r="Q85" i="9"/>
  <c r="C43" i="10"/>
  <c r="Q80" i="9"/>
  <c r="C38" i="10"/>
  <c r="Q75" i="9"/>
  <c r="H50" i="10"/>
  <c r="Q24" i="9"/>
  <c r="Q12"/>
  <c r="Q21"/>
  <c r="R15"/>
  <c r="H101" i="10"/>
  <c r="R27" i="9"/>
  <c r="H113" i="10"/>
  <c r="H42"/>
  <c r="U42" s="1"/>
  <c r="Q16" i="9"/>
  <c r="O50" i="10"/>
  <c r="Q455" i="9"/>
  <c r="Q451"/>
  <c r="O46" i="10"/>
  <c r="O42"/>
  <c r="Q447" i="9"/>
  <c r="O40" i="10"/>
  <c r="Q445" i="9"/>
  <c r="O36" i="10"/>
  <c r="Q441" i="9"/>
  <c r="F53" i="10"/>
  <c r="Q182" i="9"/>
  <c r="F48" i="10"/>
  <c r="Q177" i="9"/>
  <c r="F43" i="10"/>
  <c r="Q172" i="9"/>
  <c r="F38" i="10"/>
  <c r="Q167" i="9"/>
  <c r="E53" i="10"/>
  <c r="Q152" i="9"/>
  <c r="E51" i="10"/>
  <c r="Q150" i="9"/>
  <c r="E108" i="10"/>
  <c r="R147" i="9"/>
  <c r="E47" i="10"/>
  <c r="Q146" i="9"/>
  <c r="E46" i="10"/>
  <c r="Q145" i="9"/>
  <c r="R142"/>
  <c r="E103" i="10"/>
  <c r="E42"/>
  <c r="Q141" i="9"/>
  <c r="E41" i="10"/>
  <c r="Q140" i="9"/>
  <c r="R137"/>
  <c r="E98" i="10"/>
  <c r="E37"/>
  <c r="Q136" i="9"/>
  <c r="E36" i="10"/>
  <c r="Q135" i="9"/>
  <c r="C53" i="10"/>
  <c r="Q90" i="9"/>
  <c r="C51" i="10"/>
  <c r="Q88" i="9"/>
  <c r="C46" i="10"/>
  <c r="Q83" i="9"/>
  <c r="C41" i="10"/>
  <c r="Q78" i="9"/>
  <c r="C36" i="10"/>
  <c r="Q73" i="9"/>
  <c r="H97" i="10"/>
  <c r="R11" i="9"/>
  <c r="Q19"/>
  <c r="I232"/>
  <c r="J231"/>
  <c r="K231" s="1"/>
  <c r="L231" s="1"/>
  <c r="M231" s="1"/>
  <c r="N231" s="1"/>
  <c r="O231" s="1"/>
  <c r="U15" l="1"/>
  <c r="V15" s="1"/>
  <c r="W15" s="1"/>
  <c r="X15" s="1"/>
  <c r="Y15" s="1"/>
  <c r="Z15" s="1"/>
  <c r="AA15" s="1"/>
  <c r="AB15" s="1"/>
  <c r="AC15" s="1"/>
  <c r="AD15" s="1"/>
  <c r="AE15" s="1"/>
  <c r="T16"/>
  <c r="I233"/>
  <c r="J232"/>
  <c r="K232" s="1"/>
  <c r="L232" s="1"/>
  <c r="M232" s="1"/>
  <c r="N232" s="1"/>
  <c r="O232" s="1"/>
  <c r="U16" l="1"/>
  <c r="V16" s="1"/>
  <c r="W16" s="1"/>
  <c r="X16" s="1"/>
  <c r="Y16" s="1"/>
  <c r="Z16" s="1"/>
  <c r="AA16" s="1"/>
  <c r="AB16" s="1"/>
  <c r="AC16" s="1"/>
  <c r="AD16" s="1"/>
  <c r="AE16" s="1"/>
  <c r="T17"/>
  <c r="I234"/>
  <c r="J233"/>
  <c r="K233" s="1"/>
  <c r="L233" s="1"/>
  <c r="M233" s="1"/>
  <c r="N233" s="1"/>
  <c r="O233" s="1"/>
  <c r="U17" l="1"/>
  <c r="V17" s="1"/>
  <c r="W17" s="1"/>
  <c r="X17" s="1"/>
  <c r="Y17" s="1"/>
  <c r="Z17" s="1"/>
  <c r="AA17" s="1"/>
  <c r="AB17" s="1"/>
  <c r="AC17" s="1"/>
  <c r="AD17" s="1"/>
  <c r="AE17" s="1"/>
  <c r="T19"/>
  <c r="I236"/>
  <c r="J234"/>
  <c r="K234" s="1"/>
  <c r="L234" s="1"/>
  <c r="M234" s="1"/>
  <c r="N234" s="1"/>
  <c r="O234" s="1"/>
  <c r="U19" l="1"/>
  <c r="V19" s="1"/>
  <c r="W19" s="1"/>
  <c r="X19" s="1"/>
  <c r="Y19" s="1"/>
  <c r="Z19" s="1"/>
  <c r="AA19" s="1"/>
  <c r="AB19" s="1"/>
  <c r="AC19" s="1"/>
  <c r="AD19" s="1"/>
  <c r="AE19" s="1"/>
  <c r="T20"/>
  <c r="I237"/>
  <c r="J236"/>
  <c r="K236" s="1"/>
  <c r="L236" s="1"/>
  <c r="M236" s="1"/>
  <c r="N236" s="1"/>
  <c r="O236" s="1"/>
  <c r="U20" l="1"/>
  <c r="V20" s="1"/>
  <c r="W20" s="1"/>
  <c r="X20" s="1"/>
  <c r="Y20" s="1"/>
  <c r="Z20" s="1"/>
  <c r="AA20" s="1"/>
  <c r="AB20" s="1"/>
  <c r="AC20" s="1"/>
  <c r="AD20" s="1"/>
  <c r="AE20" s="1"/>
  <c r="T21"/>
  <c r="I238"/>
  <c r="J237"/>
  <c r="K237" s="1"/>
  <c r="L237" s="1"/>
  <c r="M237" s="1"/>
  <c r="N237" s="1"/>
  <c r="O237" s="1"/>
  <c r="U21" l="1"/>
  <c r="V21" s="1"/>
  <c r="W21" s="1"/>
  <c r="X21" s="1"/>
  <c r="Y21" s="1"/>
  <c r="Z21" s="1"/>
  <c r="AA21" s="1"/>
  <c r="AB21" s="1"/>
  <c r="AC21" s="1"/>
  <c r="AD21" s="1"/>
  <c r="AE21" s="1"/>
  <c r="T22"/>
  <c r="I239"/>
  <c r="J238"/>
  <c r="K238" s="1"/>
  <c r="L238" s="1"/>
  <c r="M238" s="1"/>
  <c r="N238" s="1"/>
  <c r="O238" s="1"/>
  <c r="T24" l="1"/>
  <c r="U22"/>
  <c r="V22" s="1"/>
  <c r="W22" s="1"/>
  <c r="X22" s="1"/>
  <c r="Y22" s="1"/>
  <c r="Z22" s="1"/>
  <c r="AA22" s="1"/>
  <c r="AB22" s="1"/>
  <c r="AC22" s="1"/>
  <c r="AD22" s="1"/>
  <c r="AE22" s="1"/>
  <c r="I241"/>
  <c r="J239"/>
  <c r="K239" s="1"/>
  <c r="L239" s="1"/>
  <c r="M239" s="1"/>
  <c r="N239" s="1"/>
  <c r="O239" s="1"/>
  <c r="AC71" i="19"/>
  <c r="AA61"/>
  <c r="U75"/>
  <c r="R80"/>
  <c r="AB68"/>
  <c r="K68"/>
  <c r="B75"/>
  <c r="W69"/>
  <c r="Y27"/>
  <c r="O73"/>
  <c r="Z26"/>
  <c r="AB73"/>
  <c r="AC56"/>
  <c r="X75"/>
  <c r="G83"/>
  <c r="C72"/>
  <c r="R70"/>
  <c r="AC75"/>
  <c r="J74"/>
  <c r="F73"/>
  <c r="S71"/>
  <c r="AF76"/>
  <c r="C79"/>
  <c r="T77"/>
  <c r="E62"/>
  <c r="P79"/>
  <c r="W35"/>
  <c r="W72"/>
  <c r="AC52"/>
  <c r="S74"/>
  <c r="Y54"/>
  <c r="K77"/>
  <c r="AG76"/>
  <c r="G79"/>
  <c r="M51"/>
  <c r="K56"/>
  <c r="I53"/>
  <c r="E61"/>
  <c r="S72"/>
  <c r="Q74"/>
  <c r="K76"/>
  <c r="I78"/>
  <c r="X83"/>
  <c r="C81"/>
  <c r="O59"/>
  <c r="AG82"/>
  <c r="V59"/>
  <c r="N74"/>
  <c r="Y31"/>
  <c r="F78"/>
  <c r="C80"/>
  <c r="AI81"/>
  <c r="AC83"/>
  <c r="AI48"/>
  <c r="K73"/>
  <c r="AH80"/>
  <c r="AF82"/>
  <c r="AA68"/>
  <c r="Y70"/>
  <c r="AG83"/>
  <c r="H78"/>
  <c r="V83"/>
  <c r="U76"/>
  <c r="AI69"/>
  <c r="Q78"/>
  <c r="AA73"/>
  <c r="P72"/>
  <c r="AG81"/>
  <c r="AH79"/>
  <c r="C71"/>
  <c r="AG50"/>
  <c r="S69"/>
  <c r="R62"/>
  <c r="O71"/>
  <c r="K50"/>
  <c r="U55"/>
  <c r="Y16"/>
  <c r="Q57"/>
  <c r="AH72"/>
  <c r="U78"/>
  <c r="Z76"/>
  <c r="C60"/>
  <c r="E59"/>
  <c r="Z81"/>
  <c r="Y18"/>
  <c r="V58"/>
  <c r="H80"/>
  <c r="K52"/>
  <c r="H71"/>
  <c r="C56"/>
  <c r="D81"/>
  <c r="J61"/>
  <c r="AH82"/>
  <c r="G47"/>
  <c r="AA69"/>
  <c r="AC79"/>
  <c r="W71"/>
  <c r="U33"/>
  <c r="D73"/>
  <c r="W60"/>
  <c r="AH74"/>
  <c r="H76"/>
  <c r="AG79"/>
  <c r="AI77"/>
  <c r="AC81"/>
  <c r="AA81"/>
  <c r="S73"/>
  <c r="O69"/>
  <c r="AH81"/>
  <c r="K72"/>
  <c r="AD83"/>
  <c r="C26"/>
  <c r="C52"/>
  <c r="V32"/>
  <c r="AG53"/>
  <c r="N73"/>
  <c r="C70"/>
  <c r="AF80"/>
  <c r="AC73"/>
  <c r="O76"/>
  <c r="U56"/>
  <c r="K78"/>
  <c r="Q58"/>
  <c r="E80"/>
  <c r="AC55"/>
  <c r="N36"/>
  <c r="Y57"/>
  <c r="O68"/>
  <c r="U70"/>
  <c r="K70"/>
  <c r="E78"/>
  <c r="G80"/>
  <c r="W61"/>
  <c r="C82"/>
  <c r="X70"/>
  <c r="X80"/>
  <c r="K60"/>
  <c r="P71"/>
  <c r="B69"/>
  <c r="Y62"/>
  <c r="L69"/>
  <c r="AB72"/>
  <c r="D76"/>
  <c r="N68"/>
  <c r="AG14"/>
  <c r="P70"/>
  <c r="W62"/>
  <c r="AI73"/>
  <c r="R69"/>
  <c r="AA77"/>
  <c r="T76"/>
  <c r="L80"/>
  <c r="X57"/>
  <c r="AB59"/>
  <c r="P61"/>
  <c r="G77"/>
  <c r="Q31"/>
  <c r="AG80"/>
  <c r="X72"/>
  <c r="S81"/>
  <c r="P76"/>
  <c r="S48"/>
  <c r="O72"/>
  <c r="AA83"/>
  <c r="P82"/>
  <c r="AA60"/>
  <c r="I70"/>
  <c r="AD80"/>
  <c r="B82"/>
  <c r="Z82"/>
  <c r="AC69"/>
  <c r="W76"/>
  <c r="D70"/>
  <c r="S78"/>
  <c r="AH26"/>
  <c r="R60"/>
  <c r="U20"/>
  <c r="N62"/>
  <c r="AA82"/>
  <c r="W68"/>
  <c r="U73"/>
  <c r="S70"/>
  <c r="M77"/>
  <c r="J73"/>
  <c r="B79"/>
  <c r="B77"/>
  <c r="J76"/>
  <c r="K48"/>
  <c r="AD28"/>
  <c r="G50"/>
  <c r="AD76"/>
  <c r="Y59"/>
  <c r="U18"/>
  <c r="P68"/>
  <c r="K58"/>
  <c r="E70"/>
  <c r="Z51"/>
  <c r="AE73"/>
  <c r="AE62"/>
  <c r="AE74"/>
  <c r="Z69"/>
  <c r="O82"/>
  <c r="Y72"/>
  <c r="O77"/>
  <c r="Q76"/>
  <c r="AF70"/>
  <c r="V72"/>
  <c r="W77"/>
  <c r="AH53"/>
  <c r="O81"/>
  <c r="M80"/>
  <c r="S77"/>
  <c r="I82"/>
  <c r="K81"/>
  <c r="I80"/>
  <c r="AD58"/>
  <c r="AI83"/>
  <c r="U60"/>
  <c r="S80"/>
  <c r="AF39"/>
  <c r="AD81"/>
  <c r="W17"/>
  <c r="AE54"/>
  <c r="Z57"/>
  <c r="I71"/>
  <c r="AC33"/>
  <c r="I33"/>
  <c r="C54"/>
  <c r="AC57"/>
  <c r="R57"/>
  <c r="AI68"/>
  <c r="R68"/>
  <c r="I55"/>
  <c r="S76"/>
  <c r="O31"/>
  <c r="AD56"/>
  <c r="E41"/>
  <c r="F40"/>
  <c r="AG57"/>
  <c r="AI60"/>
  <c r="C34"/>
  <c r="Y74"/>
  <c r="H79"/>
  <c r="AH68"/>
  <c r="AI76"/>
  <c r="L57"/>
  <c r="AF78"/>
  <c r="T82"/>
  <c r="F37"/>
  <c r="AE48"/>
  <c r="M78"/>
  <c r="E74"/>
  <c r="AF40"/>
  <c r="O56"/>
  <c r="H32"/>
  <c r="W81"/>
  <c r="E83"/>
  <c r="Y73"/>
  <c r="AG68"/>
  <c r="I81"/>
  <c r="P81"/>
  <c r="N32"/>
  <c r="I69"/>
  <c r="Y68"/>
  <c r="U69"/>
  <c r="Q72"/>
  <c r="M73"/>
  <c r="L73"/>
  <c r="R75"/>
  <c r="H75"/>
  <c r="Z70"/>
  <c r="E68"/>
  <c r="AI72"/>
  <c r="F36"/>
  <c r="AA76"/>
  <c r="J81"/>
  <c r="D74"/>
  <c r="K49"/>
  <c r="AD77"/>
  <c r="D77"/>
  <c r="R74"/>
  <c r="AH78"/>
  <c r="J78"/>
  <c r="G72"/>
  <c r="AC59"/>
  <c r="C74"/>
  <c r="T68"/>
  <c r="AC76"/>
  <c r="AD68"/>
  <c r="Y78"/>
  <c r="F75"/>
  <c r="AC51"/>
  <c r="J60"/>
  <c r="Y53"/>
  <c r="Y58"/>
  <c r="Q73"/>
  <c r="I39"/>
  <c r="I77"/>
  <c r="AE81"/>
  <c r="U80"/>
  <c r="H57"/>
  <c r="Q82"/>
  <c r="AH60"/>
  <c r="P73"/>
  <c r="U77"/>
  <c r="H77"/>
  <c r="M81"/>
  <c r="AI80"/>
  <c r="AH47"/>
  <c r="L82"/>
  <c r="AC72"/>
  <c r="W80"/>
  <c r="AF81"/>
  <c r="Q35"/>
  <c r="Y69"/>
  <c r="Q83"/>
  <c r="T81"/>
  <c r="F83"/>
  <c r="M69"/>
  <c r="C77"/>
  <c r="F69"/>
  <c r="AG78"/>
  <c r="AD70"/>
  <c r="L74"/>
  <c r="Q20"/>
  <c r="F70"/>
  <c r="S68"/>
  <c r="C69"/>
  <c r="E73"/>
  <c r="AG70"/>
  <c r="AE76"/>
  <c r="E55"/>
  <c r="F77"/>
  <c r="AI56"/>
  <c r="L75"/>
  <c r="AF73"/>
  <c r="V28"/>
  <c r="X77"/>
  <c r="U83"/>
  <c r="AB80"/>
  <c r="AB83"/>
  <c r="F58"/>
  <c r="M75"/>
  <c r="F81"/>
  <c r="R51"/>
  <c r="X71"/>
  <c r="V80"/>
  <c r="AG73"/>
  <c r="R82"/>
  <c r="Q81"/>
  <c r="K69"/>
  <c r="E82"/>
  <c r="G71"/>
  <c r="T69"/>
  <c r="H59"/>
  <c r="T73"/>
  <c r="Z53"/>
  <c r="P75"/>
  <c r="V55"/>
  <c r="O80"/>
  <c r="L79"/>
  <c r="K82"/>
  <c r="C73"/>
  <c r="AF57"/>
  <c r="Y83"/>
  <c r="B83"/>
  <c r="N83"/>
  <c r="U74"/>
  <c r="U51"/>
  <c r="J69"/>
  <c r="Q53"/>
  <c r="AH75"/>
  <c r="J75"/>
  <c r="AG27"/>
  <c r="V70"/>
  <c r="AG75"/>
  <c r="T74"/>
  <c r="AC77"/>
  <c r="J70"/>
  <c r="F76"/>
  <c r="M55"/>
  <c r="AH70"/>
  <c r="I57"/>
  <c r="Z74"/>
  <c r="AE68"/>
  <c r="C49"/>
  <c r="AA70"/>
  <c r="Y79"/>
  <c r="B74"/>
  <c r="U81"/>
  <c r="AB77"/>
  <c r="U47"/>
  <c r="V81"/>
  <c r="AF71"/>
  <c r="W75"/>
  <c r="V68"/>
  <c r="K41"/>
  <c r="X74"/>
  <c r="AG62"/>
  <c r="AA56"/>
  <c r="AB69"/>
  <c r="C62"/>
  <c r="D68"/>
  <c r="AI38"/>
  <c r="AH69"/>
  <c r="M33"/>
  <c r="AA75"/>
  <c r="AH56"/>
  <c r="B50"/>
  <c r="Z60"/>
  <c r="I76"/>
  <c r="E77"/>
  <c r="AI79"/>
  <c r="AE80"/>
  <c r="V73"/>
  <c r="Z47"/>
  <c r="N77"/>
  <c r="AE40"/>
  <c r="AE72"/>
  <c r="M59"/>
  <c r="I35"/>
  <c r="I61"/>
  <c r="AB41"/>
  <c r="L81"/>
  <c r="F79"/>
  <c r="H83"/>
  <c r="G76"/>
  <c r="Q70"/>
  <c r="C78"/>
  <c r="I74"/>
  <c r="B60"/>
  <c r="AE82"/>
  <c r="AF61"/>
  <c r="AI71"/>
  <c r="G78"/>
  <c r="E69"/>
  <c r="AH62"/>
  <c r="AI70"/>
  <c r="AI13"/>
  <c r="H74"/>
  <c r="AC16"/>
  <c r="AH77"/>
  <c r="AC47"/>
  <c r="S79"/>
  <c r="Y49"/>
  <c r="S60"/>
  <c r="AE58"/>
  <c r="AD82"/>
  <c r="S62"/>
  <c r="O74"/>
  <c r="G69"/>
  <c r="AA52"/>
  <c r="AG72"/>
  <c r="S56"/>
  <c r="L68"/>
  <c r="R61"/>
  <c r="L70"/>
  <c r="AA78"/>
  <c r="M79"/>
  <c r="AE13"/>
  <c r="D82"/>
  <c r="D79"/>
  <c r="Y76"/>
  <c r="U61"/>
  <c r="Q80"/>
  <c r="D78"/>
  <c r="AC80"/>
  <c r="N78"/>
  <c r="Y82"/>
  <c r="C68"/>
  <c r="W73"/>
  <c r="S37"/>
  <c r="G81"/>
  <c r="U79"/>
  <c r="B78"/>
  <c r="M83"/>
  <c r="AB81"/>
  <c r="U68"/>
  <c r="U59"/>
  <c r="Q61"/>
  <c r="AA59"/>
  <c r="Y37"/>
  <c r="M82"/>
  <c r="G75"/>
  <c r="E71"/>
  <c r="N59"/>
  <c r="W27"/>
  <c r="Q47"/>
  <c r="V74"/>
  <c r="M36"/>
  <c r="P83"/>
  <c r="O75"/>
  <c r="AF68"/>
  <c r="G70"/>
  <c r="D71"/>
  <c r="E76"/>
  <c r="Q55"/>
  <c r="V41"/>
  <c r="AD73"/>
  <c r="AI31"/>
  <c r="H81"/>
  <c r="S39"/>
  <c r="M72"/>
  <c r="I73"/>
  <c r="C75"/>
  <c r="B52"/>
  <c r="AE79"/>
  <c r="AA80"/>
  <c r="U82"/>
  <c r="AG15"/>
  <c r="AC70"/>
  <c r="M70"/>
  <c r="B70"/>
  <c r="AG17"/>
  <c r="W59"/>
  <c r="S61"/>
  <c r="N58"/>
  <c r="AC19"/>
  <c r="X61"/>
  <c r="M60"/>
  <c r="I16"/>
  <c r="L27"/>
  <c r="N71"/>
  <c r="V75"/>
  <c r="E18"/>
  <c r="D31"/>
  <c r="D59"/>
  <c r="H61"/>
  <c r="AI19"/>
  <c r="AD34"/>
  <c r="W50"/>
  <c r="AG16"/>
  <c r="X27"/>
  <c r="V38"/>
  <c r="G58"/>
  <c r="AC18"/>
  <c r="P31"/>
  <c r="O26"/>
  <c r="T71"/>
  <c r="Y20"/>
  <c r="H35"/>
  <c r="G30"/>
  <c r="W70"/>
  <c r="D29"/>
  <c r="AH38"/>
  <c r="AG33"/>
  <c r="J83"/>
  <c r="AA74"/>
  <c r="L60"/>
  <c r="O54"/>
  <c r="V29"/>
  <c r="V36"/>
  <c r="S30"/>
  <c r="Q41"/>
  <c r="J71"/>
  <c r="N40"/>
  <c r="K34"/>
  <c r="H50"/>
  <c r="N72"/>
  <c r="G28"/>
  <c r="C38"/>
  <c r="J54"/>
  <c r="AF79"/>
  <c r="AG31"/>
  <c r="AC41"/>
  <c r="H56"/>
  <c r="Q71"/>
  <c r="Y35"/>
  <c r="T50"/>
  <c r="AH59"/>
  <c r="AI78"/>
  <c r="Q39"/>
  <c r="AH54"/>
  <c r="AA47"/>
  <c r="M68"/>
  <c r="H48"/>
  <c r="T56"/>
  <c r="S51"/>
  <c r="C48"/>
  <c r="AG49"/>
  <c r="O60"/>
  <c r="K55"/>
  <c r="O83"/>
  <c r="H54"/>
  <c r="E48"/>
  <c r="C59"/>
  <c r="G54"/>
  <c r="AH57"/>
  <c r="AE51"/>
  <c r="B73"/>
  <c r="N69"/>
  <c r="Z61"/>
  <c r="W55"/>
  <c r="AF59"/>
  <c r="V78"/>
  <c r="S49"/>
  <c r="P78"/>
  <c r="Q51"/>
  <c r="Y77"/>
  <c r="K53"/>
  <c r="P74"/>
  <c r="AI58"/>
  <c r="M74"/>
  <c r="C57"/>
  <c r="V60"/>
  <c r="H73"/>
  <c r="Y61"/>
  <c r="U62"/>
  <c r="G52"/>
  <c r="AG74"/>
  <c r="I59"/>
  <c r="AI62"/>
  <c r="AB70"/>
  <c r="L83"/>
  <c r="AF5"/>
  <c r="H82"/>
  <c r="G68"/>
  <c r="AG47"/>
  <c r="AD37"/>
  <c r="AI54"/>
  <c r="AG69"/>
  <c r="AD48"/>
  <c r="AI74"/>
  <c r="AH71"/>
  <c r="AE69"/>
  <c r="AI37"/>
  <c r="S82"/>
  <c r="J80"/>
  <c r="B39"/>
  <c r="V48"/>
  <c r="AE71"/>
  <c r="AA72"/>
  <c r="Q62"/>
  <c r="N52"/>
  <c r="O79"/>
  <c r="K80"/>
  <c r="AD79"/>
  <c r="I14"/>
  <c r="X51"/>
  <c r="S75"/>
  <c r="M47"/>
  <c r="E16"/>
  <c r="G59"/>
  <c r="C61"/>
  <c r="W83"/>
  <c r="AI17"/>
  <c r="AF51"/>
  <c r="Q38"/>
  <c r="R71"/>
  <c r="AE19"/>
  <c r="AE15"/>
  <c r="H47"/>
  <c r="B80"/>
  <c r="P27"/>
  <c r="W19"/>
  <c r="AH50"/>
  <c r="E79"/>
  <c r="H31"/>
  <c r="Z30"/>
  <c r="AB55"/>
  <c r="V47"/>
  <c r="AH34"/>
  <c r="J38"/>
  <c r="O15"/>
  <c r="O62"/>
  <c r="Z38"/>
  <c r="AC29"/>
  <c r="K17"/>
  <c r="Z79"/>
  <c r="S26"/>
  <c r="M37"/>
  <c r="G60"/>
  <c r="AA26"/>
  <c r="AD55"/>
  <c r="E32"/>
  <c r="N33"/>
  <c r="O70"/>
  <c r="Q75"/>
  <c r="AG77"/>
  <c r="AI82"/>
  <c r="R83"/>
  <c r="U30"/>
  <c r="V77"/>
  <c r="AI61"/>
  <c r="D69"/>
  <c r="E38"/>
  <c r="V82"/>
  <c r="E72"/>
  <c r="P57"/>
  <c r="V50"/>
  <c r="G74"/>
  <c r="AD62"/>
  <c r="AI15"/>
  <c r="I15"/>
  <c r="AF53"/>
  <c r="AB78"/>
  <c r="AE17"/>
  <c r="U17"/>
  <c r="K71"/>
  <c r="AD69"/>
  <c r="AA19"/>
  <c r="Q19"/>
  <c r="AC78"/>
  <c r="AC74"/>
  <c r="H27"/>
  <c r="V26"/>
  <c r="K61"/>
  <c r="AG61"/>
  <c r="AH30"/>
  <c r="N30"/>
  <c r="R77"/>
  <c r="AE18"/>
  <c r="Z34"/>
  <c r="F34"/>
  <c r="F62"/>
  <c r="I75"/>
  <c r="R38"/>
  <c r="AF37"/>
  <c r="G17"/>
  <c r="W79"/>
  <c r="K26"/>
  <c r="X41"/>
  <c r="C19"/>
  <c r="O50"/>
  <c r="C30"/>
  <c r="Q29"/>
  <c r="S54"/>
  <c r="AA17"/>
  <c r="Z78"/>
  <c r="Q69"/>
  <c r="T29"/>
  <c r="AB82"/>
  <c r="U37"/>
  <c r="AI36"/>
  <c r="L33"/>
  <c r="F72"/>
  <c r="M41"/>
  <c r="AA40"/>
  <c r="D37"/>
  <c r="X79"/>
  <c r="D50"/>
  <c r="R49"/>
  <c r="AD40"/>
  <c r="AC35"/>
  <c r="B54"/>
  <c r="J53"/>
  <c r="W28"/>
  <c r="U39"/>
  <c r="D56"/>
  <c r="R55"/>
  <c r="O32"/>
  <c r="F48"/>
  <c r="AD59"/>
  <c r="J59"/>
  <c r="G36"/>
  <c r="D52"/>
  <c r="W47"/>
  <c r="C47"/>
  <c r="Z73"/>
  <c r="G51"/>
  <c r="O51"/>
  <c r="AC50"/>
  <c r="X48"/>
  <c r="D58"/>
  <c r="G55"/>
  <c r="U54"/>
  <c r="P52"/>
  <c r="V53"/>
  <c r="AG58"/>
  <c r="M58"/>
  <c r="X54"/>
  <c r="W49"/>
  <c r="T72"/>
  <c r="H70"/>
  <c r="P58"/>
  <c r="O53"/>
  <c r="X59"/>
  <c r="R58"/>
  <c r="H62"/>
  <c r="G57"/>
  <c r="I51"/>
  <c r="C50"/>
  <c r="AI49"/>
  <c r="Y80"/>
  <c r="AA58"/>
  <c r="U57"/>
  <c r="AA53"/>
  <c r="T80"/>
  <c r="Z72"/>
  <c r="E60"/>
  <c r="R78"/>
  <c r="J82"/>
  <c r="AB75"/>
  <c r="AI26"/>
  <c r="K83"/>
  <c r="L77"/>
  <c r="AF75"/>
  <c r="T75"/>
  <c r="AF83"/>
  <c r="N53"/>
  <c r="AH83"/>
  <c r="G35"/>
  <c r="O48"/>
  <c r="Z80"/>
  <c r="C83"/>
  <c r="P47"/>
  <c r="AG55"/>
  <c r="I30"/>
  <c r="U36"/>
  <c r="J56"/>
  <c r="Z75"/>
  <c r="AI33"/>
  <c r="M40"/>
  <c r="AD19"/>
  <c r="F82"/>
  <c r="Z58"/>
  <c r="D49"/>
  <c r="N27"/>
  <c r="Q77"/>
  <c r="M14"/>
  <c r="AD52"/>
  <c r="F31"/>
  <c r="I49"/>
  <c r="AI52"/>
  <c r="Q14"/>
  <c r="AF34"/>
  <c r="V62"/>
  <c r="R50"/>
  <c r="M16"/>
  <c r="X38"/>
  <c r="L72"/>
  <c r="AD54"/>
  <c r="I18"/>
  <c r="Q26"/>
  <c r="T59"/>
  <c r="G15"/>
  <c r="E20"/>
  <c r="W33"/>
  <c r="E51"/>
  <c r="C17"/>
  <c r="AF27"/>
  <c r="G41"/>
  <c r="W58"/>
  <c r="AG18"/>
  <c r="X31"/>
  <c r="X53"/>
  <c r="R72"/>
  <c r="AC20"/>
  <c r="P35"/>
  <c r="S5"/>
  <c r="U71"/>
  <c r="L29"/>
  <c r="H39"/>
  <c r="W9"/>
  <c r="E81"/>
  <c r="X82"/>
  <c r="AD74"/>
  <c r="M61"/>
  <c r="N76"/>
  <c r="AD36"/>
  <c r="AA30"/>
  <c r="U5"/>
  <c r="H72"/>
  <c r="V40"/>
  <c r="S34"/>
  <c r="Q7"/>
  <c r="AD72"/>
  <c r="O28"/>
  <c r="K38"/>
  <c r="M9"/>
  <c r="N80"/>
  <c r="G32"/>
  <c r="B47"/>
  <c r="O11"/>
  <c r="AG71"/>
  <c r="AG35"/>
  <c r="AB50"/>
  <c r="Z5"/>
  <c r="Q79"/>
  <c r="Y39"/>
  <c r="P55"/>
  <c r="V7"/>
  <c r="AC68"/>
  <c r="P48"/>
  <c r="AB56"/>
  <c r="R9"/>
  <c r="AA48"/>
  <c r="S52"/>
  <c r="T60"/>
  <c r="Y11"/>
  <c r="AE83"/>
  <c r="P54"/>
  <c r="M48"/>
  <c r="AF11"/>
  <c r="W54"/>
  <c r="H58"/>
  <c r="E52"/>
  <c r="AB13"/>
  <c r="T70"/>
  <c r="AH61"/>
  <c r="AE55"/>
  <c r="X15"/>
  <c r="T79"/>
  <c r="AA49"/>
  <c r="I60"/>
  <c r="T17"/>
  <c r="W78"/>
  <c r="S53"/>
  <c r="N75"/>
  <c r="P19"/>
  <c r="K75"/>
  <c r="K57"/>
  <c r="D61"/>
  <c r="T26"/>
  <c r="G62"/>
  <c r="B68"/>
  <c r="W52"/>
  <c r="L30"/>
  <c r="J79"/>
  <c r="B81"/>
  <c r="AE60"/>
  <c r="O34"/>
  <c r="N5"/>
  <c r="M32"/>
  <c r="AE11"/>
  <c r="M76"/>
  <c r="P60"/>
  <c r="V76"/>
  <c r="AD49"/>
  <c r="R34"/>
  <c r="D34"/>
  <c r="Y75"/>
  <c r="O47"/>
  <c r="I83"/>
  <c r="AG54"/>
  <c r="U72"/>
  <c r="V71"/>
  <c r="Y38"/>
  <c r="AA50"/>
  <c r="AE50"/>
  <c r="AB71"/>
  <c r="O58"/>
  <c r="C76"/>
  <c r="B72"/>
  <c r="G73"/>
  <c r="J34"/>
  <c r="F68"/>
  <c r="Z83"/>
  <c r="AA15"/>
  <c r="AC82"/>
  <c r="S19"/>
  <c r="Z71"/>
  <c r="R30"/>
  <c r="O8"/>
  <c r="B38"/>
  <c r="F80"/>
  <c r="U29"/>
  <c r="Y71"/>
  <c r="E37"/>
  <c r="I79"/>
  <c r="V49"/>
  <c r="Z14"/>
  <c r="AD61"/>
  <c r="G39"/>
  <c r="H52"/>
  <c r="I48"/>
  <c r="E14"/>
  <c r="G56"/>
  <c r="Q17"/>
  <c r="Y17"/>
  <c r="I10"/>
  <c r="AA39"/>
  <c r="AI51"/>
  <c r="K6"/>
  <c r="AE10"/>
  <c r="V12"/>
  <c r="U50"/>
  <c r="W13"/>
  <c r="U32"/>
  <c r="O41"/>
  <c r="L47"/>
  <c r="AB8"/>
  <c r="G82"/>
  <c r="I34"/>
  <c r="AH5"/>
  <c r="AF29"/>
  <c r="P13"/>
  <c r="AE33"/>
  <c r="AC34"/>
  <c r="AA13"/>
  <c r="N70"/>
  <c r="Y47"/>
  <c r="P39"/>
  <c r="L34"/>
  <c r="G40"/>
  <c r="AG60"/>
  <c r="Z18"/>
  <c r="X30"/>
  <c r="Z50"/>
  <c r="T15"/>
  <c r="AA37"/>
  <c r="AA32"/>
  <c r="U14"/>
  <c r="AI11"/>
  <c r="H36"/>
  <c r="P53"/>
  <c r="L49"/>
  <c r="AE14"/>
  <c r="AG34"/>
  <c r="O35"/>
  <c r="O29"/>
  <c r="AB36"/>
  <c r="AH76"/>
  <c r="AD78"/>
  <c r="B29"/>
  <c r="AB48"/>
  <c r="D17"/>
  <c r="L17"/>
  <c r="B5"/>
  <c r="T11"/>
  <c r="J48"/>
  <c r="AG13"/>
  <c r="O14"/>
  <c r="X60"/>
  <c r="B30"/>
  <c r="P29"/>
  <c r="AD57"/>
  <c r="AA8"/>
  <c r="M18"/>
  <c r="C18"/>
  <c r="AH49"/>
  <c r="N14"/>
  <c r="Z56"/>
  <c r="B19"/>
  <c r="S11"/>
  <c r="AF18"/>
  <c r="L76"/>
  <c r="G16"/>
  <c r="I41"/>
  <c r="R12"/>
  <c r="P51"/>
  <c r="F17"/>
  <c r="K7"/>
  <c r="U13"/>
  <c r="V52"/>
  <c r="L55"/>
  <c r="Y40"/>
  <c r="L62"/>
  <c r="F33"/>
  <c r="I11"/>
  <c r="AB5"/>
  <c r="Y81"/>
  <c r="H55"/>
  <c r="M20"/>
  <c r="I9"/>
  <c r="H49"/>
  <c r="Y8"/>
  <c r="G9"/>
  <c r="M50"/>
  <c r="E26"/>
  <c r="B48"/>
  <c r="AH48"/>
  <c r="AF56"/>
  <c r="J26"/>
  <c r="AE20"/>
  <c r="D54"/>
  <c r="AE6"/>
  <c r="R18"/>
  <c r="S35"/>
  <c r="Q36"/>
  <c r="X55"/>
  <c r="K19"/>
  <c r="AI18"/>
  <c r="AD51"/>
  <c r="X9"/>
  <c r="L59"/>
  <c r="R52"/>
  <c r="Q37"/>
  <c r="AE12"/>
  <c r="X47"/>
  <c r="L16"/>
  <c r="W14"/>
  <c r="D14"/>
  <c r="N20"/>
  <c r="AF60"/>
  <c r="N61"/>
  <c r="AI5"/>
  <c r="AI20"/>
  <c r="AE8"/>
  <c r="E9"/>
  <c r="T57"/>
  <c r="K16"/>
  <c r="V6"/>
  <c r="AH6"/>
  <c r="AI55"/>
  <c r="L41"/>
  <c r="Z40"/>
  <c r="G53"/>
  <c r="B7"/>
  <c r="R40"/>
  <c r="U10"/>
  <c r="C11"/>
  <c r="I52"/>
  <c r="T37"/>
  <c r="AH36"/>
  <c r="O49"/>
  <c r="F5"/>
  <c r="F28"/>
  <c r="T27"/>
  <c r="AH55"/>
  <c r="F18"/>
  <c r="S17"/>
  <c r="R29"/>
  <c r="F47"/>
  <c r="C35"/>
  <c r="AG40"/>
  <c r="B26"/>
  <c r="AF15"/>
  <c r="N47"/>
  <c r="M11"/>
  <c r="AD71"/>
  <c r="Q56"/>
  <c r="AB6"/>
  <c r="F29"/>
  <c r="AF55"/>
  <c r="Z54"/>
  <c r="J72"/>
  <c r="M31"/>
  <c r="W40"/>
  <c r="X7"/>
  <c r="R16"/>
  <c r="K31"/>
  <c r="AB27"/>
  <c r="P50"/>
  <c r="S58"/>
  <c r="AB39"/>
  <c r="AE36"/>
  <c r="Q12"/>
  <c r="V14"/>
  <c r="J41"/>
  <c r="Q27"/>
  <c r="V54"/>
  <c r="Q11"/>
  <c r="C41"/>
  <c r="X37"/>
  <c r="F38"/>
  <c r="AD10"/>
  <c r="AI59"/>
  <c r="C16"/>
  <c r="AF19"/>
  <c r="F20"/>
  <c r="J37"/>
  <c r="P69"/>
  <c r="J68"/>
  <c r="V31"/>
  <c r="W29"/>
  <c r="M52"/>
  <c r="AA51"/>
  <c r="N48"/>
  <c r="AG48"/>
  <c r="F59"/>
  <c r="S13"/>
  <c r="AH31"/>
  <c r="M8"/>
  <c r="AG41"/>
  <c r="AI47"/>
  <c r="AE35"/>
  <c r="N57"/>
  <c r="N55"/>
  <c r="O10"/>
  <c r="H28"/>
  <c r="U15"/>
  <c r="R47"/>
  <c r="Y5"/>
  <c r="P17"/>
  <c r="T18"/>
  <c r="AA36"/>
  <c r="I37"/>
  <c r="AD31"/>
  <c r="AE59"/>
  <c r="S15"/>
  <c r="R76"/>
  <c r="AB53"/>
  <c r="T58"/>
  <c r="N29"/>
  <c r="AD29"/>
  <c r="M38"/>
  <c r="X50"/>
  <c r="B18"/>
  <c r="J18"/>
  <c r="Z29"/>
  <c r="AI57"/>
  <c r="O57"/>
  <c r="D20"/>
  <c r="P40"/>
  <c r="Z41"/>
  <c r="F16"/>
  <c r="N16"/>
  <c r="F19"/>
  <c r="I54"/>
  <c r="W53"/>
  <c r="F52"/>
  <c r="X36"/>
  <c r="AB60"/>
  <c r="H60"/>
  <c r="AE31"/>
  <c r="N51"/>
  <c r="F53"/>
  <c r="S8"/>
  <c r="J20"/>
  <c r="L51"/>
  <c r="AF72"/>
  <c r="L53"/>
  <c r="D18"/>
  <c r="O9"/>
  <c r="W57"/>
  <c r="E30"/>
  <c r="C31"/>
  <c r="S10"/>
  <c r="AA55"/>
  <c r="B35"/>
  <c r="R35"/>
  <c r="E8"/>
  <c r="AE56"/>
  <c r="Y55"/>
  <c r="T55"/>
  <c r="AA14"/>
  <c r="E7"/>
  <c r="J31"/>
  <c r="Z31"/>
  <c r="AD50"/>
  <c r="M49"/>
  <c r="G48"/>
  <c r="U34"/>
  <c r="M28"/>
  <c r="D80"/>
  <c r="K37"/>
  <c r="AB38"/>
  <c r="F8"/>
  <c r="C14"/>
  <c r="J16"/>
  <c r="AF20"/>
  <c r="Z36"/>
  <c r="F6"/>
  <c r="N12"/>
  <c r="AA33"/>
  <c r="T49"/>
  <c r="G5"/>
  <c r="X40"/>
  <c r="AA6"/>
  <c r="AE39"/>
  <c r="H53"/>
  <c r="E75"/>
  <c r="P32"/>
  <c r="Z32"/>
  <c r="O33"/>
  <c r="H68"/>
  <c r="T19"/>
  <c r="Y19"/>
  <c r="AD6"/>
  <c r="U49"/>
  <c r="S50"/>
  <c r="AF14"/>
  <c r="B11"/>
  <c r="X68"/>
  <c r="M27"/>
  <c r="AC27"/>
  <c r="F15"/>
  <c r="P36"/>
  <c r="AA31"/>
  <c r="Y32"/>
  <c r="AB52"/>
  <c r="B27"/>
  <c r="AD35"/>
  <c r="L36"/>
  <c r="P10"/>
  <c r="N79"/>
  <c r="Z48"/>
  <c r="U35"/>
  <c r="E27"/>
  <c r="J62"/>
  <c r="D32"/>
  <c r="T32"/>
  <c r="X6"/>
  <c r="I62"/>
  <c r="I36"/>
  <c r="AC31"/>
  <c r="T35"/>
  <c r="Q68"/>
  <c r="D38"/>
  <c r="N38"/>
  <c r="U12"/>
  <c r="G31"/>
  <c r="W31"/>
  <c r="AG5"/>
  <c r="AC60"/>
  <c r="V17"/>
  <c r="AF49"/>
  <c r="D40"/>
  <c r="X18"/>
  <c r="AI32"/>
  <c r="Q33"/>
  <c r="Z33"/>
  <c r="AG8"/>
  <c r="T39"/>
  <c r="B40"/>
  <c r="N11"/>
  <c r="X32"/>
  <c r="R41"/>
  <c r="AH41"/>
  <c r="B49"/>
  <c r="F61"/>
  <c r="AB35"/>
  <c r="J36"/>
  <c r="AD8"/>
  <c r="AF28"/>
  <c r="Z37"/>
  <c r="H38"/>
  <c r="K40"/>
  <c r="AB17"/>
  <c r="L28"/>
  <c r="AB28"/>
  <c r="K10"/>
  <c r="AA79"/>
  <c r="Y28"/>
  <c r="C28"/>
  <c r="B28"/>
  <c r="AE78"/>
  <c r="AC48"/>
  <c r="W11"/>
  <c r="D30"/>
  <c r="L32"/>
  <c r="B53"/>
  <c r="R53"/>
  <c r="V13"/>
  <c r="F9"/>
  <c r="W38"/>
  <c r="E39"/>
  <c r="I12"/>
  <c r="Y36"/>
  <c r="AC15"/>
  <c r="C5"/>
  <c r="T62"/>
  <c r="J29"/>
  <c r="AE34"/>
  <c r="M35"/>
  <c r="Q6"/>
  <c r="G29"/>
  <c r="AB51"/>
  <c r="Z52"/>
  <c r="AB58"/>
  <c r="T34"/>
  <c r="AI27"/>
  <c r="AG28"/>
  <c r="V16"/>
  <c r="O17"/>
  <c r="E17"/>
  <c r="P9"/>
  <c r="O7"/>
  <c r="H12"/>
  <c r="I68"/>
  <c r="AH35"/>
  <c r="AH52"/>
  <c r="P59"/>
  <c r="I5"/>
  <c r="S31"/>
  <c r="B9"/>
  <c r="G27"/>
  <c r="T31"/>
  <c r="M12"/>
  <c r="AC12"/>
  <c r="AE52"/>
  <c r="O40"/>
  <c r="AC39"/>
  <c r="I47"/>
  <c r="H13"/>
  <c r="AD60"/>
  <c r="AC9"/>
  <c r="C10"/>
  <c r="L61"/>
  <c r="W36"/>
  <c r="C36"/>
  <c r="V79"/>
  <c r="L11"/>
  <c r="I27"/>
  <c r="W26"/>
  <c r="C55"/>
  <c r="AC26"/>
  <c r="B34"/>
  <c r="M30"/>
  <c r="T6"/>
  <c r="R13"/>
  <c r="K28"/>
  <c r="AA62"/>
  <c r="V69"/>
  <c r="AB18"/>
  <c r="C40"/>
  <c r="H15"/>
  <c r="P15"/>
  <c r="N54"/>
  <c r="W30"/>
  <c r="W12"/>
  <c r="E13"/>
  <c r="AC32"/>
  <c r="AF58"/>
  <c r="L58"/>
  <c r="AI29"/>
  <c r="Z20"/>
  <c r="AG38"/>
  <c r="AH9"/>
  <c r="H10"/>
  <c r="C29"/>
  <c r="F55"/>
  <c r="T54"/>
  <c r="AB79"/>
  <c r="AD18"/>
  <c r="J47"/>
  <c r="Y41"/>
  <c r="AI50"/>
  <c r="J32"/>
  <c r="E33"/>
  <c r="AA7"/>
  <c r="AF32"/>
  <c r="O39"/>
  <c r="R28"/>
  <c r="U27"/>
  <c r="Z28"/>
  <c r="AG9"/>
  <c r="O27"/>
  <c r="AE27"/>
  <c r="AB32"/>
  <c r="S29"/>
  <c r="M53"/>
  <c r="K54"/>
  <c r="D16"/>
  <c r="K36"/>
  <c r="L13"/>
  <c r="T13"/>
  <c r="S41"/>
  <c r="G19"/>
  <c r="K30"/>
  <c r="K74"/>
  <c r="N82"/>
  <c r="AB29"/>
  <c r="AC37"/>
  <c r="T33"/>
  <c r="U41"/>
  <c r="L37"/>
  <c r="L50"/>
  <c r="D41"/>
  <c r="R54"/>
  <c r="AE28"/>
  <c r="L56"/>
  <c r="W32"/>
  <c r="D60"/>
  <c r="O36"/>
  <c r="AE47"/>
  <c r="Q49"/>
  <c r="W51"/>
  <c r="AF48"/>
  <c r="O55"/>
  <c r="X52"/>
  <c r="K59"/>
  <c r="AF54"/>
  <c r="R73"/>
  <c r="X58"/>
  <c r="F60"/>
  <c r="P62"/>
  <c r="Y51"/>
  <c r="I50"/>
  <c r="Q59"/>
  <c r="AI53"/>
  <c r="X73"/>
  <c r="AA57"/>
  <c r="L35"/>
  <c r="I38"/>
  <c r="G33"/>
  <c r="AB30"/>
  <c r="S55"/>
  <c r="AD12"/>
  <c r="E47"/>
  <c r="K14"/>
  <c r="M39"/>
  <c r="AD32"/>
  <c r="V56"/>
  <c r="C6"/>
  <c r="AE75"/>
  <c r="X26"/>
  <c r="AI35"/>
  <c r="C51"/>
  <c r="W34"/>
  <c r="S83"/>
  <c r="Q32"/>
  <c r="AG29"/>
  <c r="H8"/>
  <c r="AI41"/>
  <c r="AF47"/>
  <c r="AG36"/>
  <c r="K12"/>
  <c r="B51"/>
  <c r="AD41"/>
  <c r="G26"/>
  <c r="L6"/>
  <c r="S57"/>
  <c r="M34"/>
  <c r="AI30"/>
  <c r="V34"/>
  <c r="AG32"/>
  <c r="C12"/>
  <c r="H30"/>
  <c r="AG20"/>
  <c r="AA38"/>
  <c r="AA20"/>
  <c r="D62"/>
  <c r="B14"/>
  <c r="C15"/>
  <c r="W82"/>
  <c r="R36"/>
  <c r="D19"/>
  <c r="G12"/>
  <c r="W74"/>
  <c r="Q30"/>
  <c r="U9"/>
  <c r="F26"/>
  <c r="K62"/>
  <c r="AG59"/>
  <c r="E6"/>
  <c r="H51"/>
  <c r="J58"/>
  <c r="AD14"/>
  <c r="AC13"/>
  <c r="J12"/>
  <c r="M56"/>
  <c r="X39"/>
  <c r="W41"/>
  <c r="N9"/>
  <c r="Q34"/>
  <c r="AF33"/>
  <c r="N34"/>
  <c r="T5"/>
  <c r="P30"/>
  <c r="K20"/>
  <c r="S20"/>
  <c r="AC11"/>
  <c r="AD16"/>
  <c r="P26"/>
  <c r="AF26"/>
  <c r="AI28"/>
  <c r="D55"/>
  <c r="O18"/>
  <c r="W18"/>
  <c r="D7"/>
  <c r="AH14"/>
  <c r="N19"/>
  <c r="V19"/>
  <c r="H41"/>
  <c r="AA71"/>
  <c r="AC36"/>
  <c r="AD7"/>
  <c r="O37"/>
  <c r="T83"/>
  <c r="X28"/>
  <c r="AG30"/>
  <c r="AD13"/>
  <c r="AA35"/>
  <c r="J57"/>
  <c r="F35"/>
  <c r="O20"/>
  <c r="M29"/>
  <c r="E15"/>
  <c r="M13"/>
  <c r="C32"/>
  <c r="AF35"/>
  <c r="E34"/>
  <c r="R7"/>
  <c r="Y30"/>
  <c r="F30"/>
  <c r="V30"/>
  <c r="P18"/>
  <c r="N15"/>
  <c r="F32"/>
  <c r="Y26"/>
  <c r="V5"/>
  <c r="AG26"/>
  <c r="N26"/>
  <c r="AD26"/>
  <c r="AF12"/>
  <c r="AB16"/>
  <c r="S16"/>
  <c r="AA16"/>
  <c r="Y6"/>
  <c r="AC14"/>
  <c r="D53"/>
  <c r="F12"/>
  <c r="P37"/>
  <c r="O78"/>
  <c r="AE26"/>
  <c r="P56"/>
  <c r="E28"/>
  <c r="AE38"/>
  <c r="N49"/>
  <c r="W6"/>
  <c r="N18"/>
  <c r="AC38"/>
  <c r="AI34"/>
  <c r="AE9"/>
  <c r="X13"/>
  <c r="AD15"/>
  <c r="I29"/>
  <c r="Y29"/>
  <c r="N17"/>
  <c r="AH10"/>
  <c r="I31"/>
  <c r="AA5"/>
  <c r="AB11"/>
  <c r="K15"/>
  <c r="P41"/>
  <c r="AF41"/>
  <c r="J13"/>
  <c r="I32"/>
  <c r="B32"/>
  <c r="R32"/>
  <c r="C9"/>
  <c r="V20"/>
  <c r="AH33"/>
  <c r="D48"/>
  <c r="R37"/>
  <c r="AH11"/>
  <c r="N8"/>
  <c r="O61"/>
  <c r="S7"/>
  <c r="AD47"/>
  <c r="L54"/>
  <c r="AG11"/>
  <c r="AF62"/>
  <c r="Z35"/>
  <c r="R31"/>
  <c r="F57"/>
  <c r="V57"/>
  <c r="P16"/>
  <c r="E19"/>
  <c r="AI6"/>
  <c r="I7"/>
  <c r="H69"/>
  <c r="T8"/>
  <c r="F56"/>
  <c r="AD53"/>
  <c r="T14"/>
  <c r="I17"/>
  <c r="E5"/>
  <c r="M5"/>
  <c r="AE57"/>
  <c r="Q40"/>
  <c r="U6"/>
  <c r="C7"/>
  <c r="Q48"/>
  <c r="AB33"/>
  <c r="H33"/>
  <c r="V61"/>
  <c r="W10"/>
  <c r="I20"/>
  <c r="Q16"/>
  <c r="X17"/>
  <c r="AC17"/>
  <c r="AC10"/>
  <c r="B58"/>
  <c r="AH58"/>
  <c r="B13"/>
  <c r="E35"/>
  <c r="I56"/>
  <c r="Y56"/>
  <c r="T9"/>
  <c r="H37"/>
  <c r="F7"/>
  <c r="N7"/>
  <c r="T78"/>
  <c r="Z39"/>
  <c r="Q52"/>
  <c r="AG52"/>
  <c r="L7"/>
  <c r="P33"/>
  <c r="J5"/>
  <c r="R5"/>
  <c r="W56"/>
  <c r="C20"/>
  <c r="AG7"/>
  <c r="G8"/>
  <c r="AD75"/>
  <c r="AE32"/>
  <c r="K32"/>
  <c r="V8"/>
  <c r="AH8"/>
  <c r="AA41"/>
  <c r="B57"/>
  <c r="AG19"/>
  <c r="T40"/>
  <c r="N81"/>
  <c r="R20"/>
  <c r="W20"/>
  <c r="B31"/>
  <c r="B62"/>
  <c r="AB15"/>
  <c r="Y15"/>
  <c r="AC6"/>
  <c r="X69"/>
  <c r="F71"/>
  <c r="F11"/>
  <c r="H18"/>
  <c r="AI75"/>
  <c r="AF13"/>
  <c r="T51"/>
  <c r="G14"/>
  <c r="E58"/>
  <c r="U58"/>
  <c r="V10"/>
  <c r="S18"/>
  <c r="Y48"/>
  <c r="G49"/>
  <c r="Q10"/>
  <c r="X29"/>
  <c r="AA10"/>
  <c r="AI10"/>
  <c r="E49"/>
  <c r="AF74"/>
  <c r="B36"/>
  <c r="L20"/>
  <c r="T20"/>
  <c r="S6"/>
  <c r="I72"/>
  <c r="AH39"/>
  <c r="J40"/>
  <c r="K18"/>
  <c r="M71"/>
  <c r="T30"/>
  <c r="AD30"/>
  <c r="C8"/>
  <c r="P80"/>
  <c r="L71"/>
  <c r="X20"/>
  <c r="G7"/>
  <c r="AF31"/>
  <c r="AB26"/>
  <c r="D27"/>
  <c r="G6"/>
  <c r="E57"/>
  <c r="C58"/>
  <c r="AF16"/>
  <c r="L78"/>
  <c r="H17"/>
  <c r="J7"/>
  <c r="J39"/>
  <c r="AE29"/>
  <c r="AE61"/>
  <c r="W15"/>
  <c r="H7"/>
  <c r="U53"/>
  <c r="AH51"/>
  <c r="X62"/>
  <c r="P28"/>
  <c r="Z17"/>
  <c r="AE53"/>
  <c r="F41"/>
  <c r="AC62"/>
  <c r="AC40"/>
  <c r="E50"/>
  <c r="AF36"/>
  <c r="N37"/>
  <c r="AG12"/>
  <c r="X56"/>
  <c r="R27"/>
  <c r="AH27"/>
  <c r="AC30"/>
  <c r="AB57"/>
  <c r="R81"/>
  <c r="F39"/>
  <c r="G37"/>
  <c r="E56"/>
  <c r="X19"/>
  <c r="AD38"/>
  <c r="K51"/>
  <c r="J35"/>
  <c r="J30"/>
  <c r="AB40"/>
  <c r="C13"/>
  <c r="AI16"/>
  <c r="Q18"/>
  <c r="N31"/>
  <c r="M7"/>
  <c r="W48"/>
  <c r="AI14"/>
  <c r="Q15"/>
  <c r="D13"/>
  <c r="E40"/>
  <c r="U16"/>
  <c r="V27"/>
  <c r="Q5"/>
  <c r="D57"/>
  <c r="F50"/>
  <c r="D51"/>
  <c r="X10"/>
  <c r="O52"/>
  <c r="U26"/>
  <c r="K27"/>
  <c r="W8"/>
  <c r="D83"/>
  <c r="X81"/>
  <c r="R39"/>
  <c r="R10"/>
  <c r="AE77"/>
  <c r="AH37"/>
  <c r="V39"/>
  <c r="Q60"/>
  <c r="E29"/>
  <c r="S28"/>
  <c r="AG56"/>
  <c r="AF8"/>
  <c r="X35"/>
  <c r="D35"/>
  <c r="S47"/>
  <c r="Z27"/>
  <c r="R26"/>
  <c r="B37"/>
  <c r="G10"/>
  <c r="E11"/>
  <c r="AB49"/>
  <c r="L31"/>
  <c r="Z59"/>
  <c r="B20"/>
  <c r="O19"/>
  <c r="J33"/>
  <c r="K8"/>
  <c r="I28"/>
  <c r="Y14"/>
  <c r="AH19"/>
  <c r="X5"/>
  <c r="Z68"/>
  <c r="W37"/>
  <c r="U38"/>
  <c r="AF6"/>
  <c r="K13"/>
  <c r="AC28"/>
  <c r="H6"/>
  <c r="P6"/>
  <c r="AC61"/>
  <c r="F49"/>
  <c r="T48"/>
  <c r="AA54"/>
  <c r="D15"/>
  <c r="AA34"/>
  <c r="G34"/>
  <c r="D72"/>
  <c r="W16"/>
  <c r="T41"/>
  <c r="N50"/>
  <c r="L10"/>
  <c r="AD17"/>
  <c r="L38"/>
  <c r="O30"/>
  <c r="AC58"/>
  <c r="AE41"/>
  <c r="AE37"/>
  <c r="AH32"/>
  <c r="AF38"/>
  <c r="X76"/>
  <c r="U19"/>
  <c r="Y13"/>
  <c r="D33"/>
  <c r="AG37"/>
  <c r="P77"/>
  <c r="J9"/>
  <c r="N56"/>
  <c r="L26"/>
  <c r="J49"/>
  <c r="I13"/>
  <c r="J51"/>
  <c r="L19"/>
  <c r="S40"/>
  <c r="H9"/>
  <c r="E31"/>
  <c r="H26"/>
  <c r="K39"/>
  <c r="B55"/>
  <c r="R19"/>
  <c r="D47"/>
  <c r="AF69"/>
  <c r="AB47"/>
  <c r="U52"/>
  <c r="N41"/>
  <c r="AB62"/>
  <c r="U8"/>
  <c r="J77"/>
  <c r="V37"/>
  <c r="B59"/>
  <c r="AH17"/>
  <c r="F51"/>
  <c r="X12"/>
  <c r="D5"/>
  <c r="J15"/>
  <c r="H5"/>
  <c r="AB14"/>
  <c r="AB74"/>
  <c r="M17"/>
  <c r="N60"/>
  <c r="AF77"/>
  <c r="D11"/>
  <c r="D6"/>
  <c r="D75"/>
  <c r="AH73"/>
  <c r="N35"/>
  <c r="AC53"/>
  <c r="Q54"/>
  <c r="T10"/>
  <c r="AA27"/>
  <c r="Y9"/>
  <c r="B61"/>
  <c r="AD5"/>
  <c r="AD33"/>
  <c r="D36"/>
  <c r="J55"/>
  <c r="Z55"/>
  <c r="R15"/>
  <c r="H34"/>
  <c r="AH20"/>
  <c r="F54"/>
  <c r="B56"/>
  <c r="H11"/>
  <c r="K79"/>
  <c r="U40"/>
  <c r="Z9"/>
  <c r="X33"/>
  <c r="AE70"/>
  <c r="U28"/>
  <c r="Y7"/>
  <c r="B33"/>
  <c r="M57"/>
  <c r="V18"/>
  <c r="AA18"/>
  <c r="AB19"/>
  <c r="J52"/>
  <c r="F74"/>
  <c r="J6"/>
  <c r="AB20"/>
  <c r="AC49"/>
  <c r="Z16"/>
  <c r="AE16"/>
  <c r="B16"/>
  <c r="G61"/>
  <c r="B12"/>
  <c r="C39"/>
  <c r="R48"/>
  <c r="M54"/>
  <c r="B6"/>
  <c r="S27"/>
  <c r="X16"/>
  <c r="AB10"/>
  <c r="M10"/>
  <c r="O5"/>
  <c r="AB76"/>
  <c r="D12"/>
  <c r="AE49"/>
  <c r="AF9"/>
  <c r="AB12"/>
  <c r="J8"/>
  <c r="AB34"/>
  <c r="AA9"/>
  <c r="R56"/>
  <c r="AC5"/>
  <c r="X14"/>
  <c r="O38"/>
  <c r="X8"/>
  <c r="O16"/>
  <c r="F14"/>
  <c r="P5"/>
  <c r="D9"/>
  <c r="H20"/>
  <c r="AF50"/>
  <c r="AF30"/>
  <c r="R8"/>
  <c r="B15"/>
  <c r="AH28"/>
  <c r="AB7"/>
  <c r="L14"/>
  <c r="P38"/>
  <c r="D28"/>
  <c r="R11"/>
  <c r="Y60"/>
  <c r="AD27"/>
  <c r="Y50"/>
  <c r="AI12"/>
  <c r="AI7"/>
  <c r="AF17"/>
  <c r="J19"/>
  <c r="AH7"/>
  <c r="Z15"/>
  <c r="AG10"/>
  <c r="T7"/>
  <c r="M26"/>
  <c r="AF10"/>
  <c r="AB9"/>
  <c r="H16"/>
  <c r="F13"/>
  <c r="X34"/>
  <c r="AE7"/>
  <c r="I6"/>
  <c r="AB31"/>
  <c r="N13"/>
  <c r="K11"/>
  <c r="N6"/>
  <c r="AA11"/>
  <c r="AH15"/>
  <c r="AB37"/>
  <c r="P8"/>
  <c r="N28"/>
  <c r="G11"/>
  <c r="M19"/>
  <c r="Y12"/>
  <c r="Z10"/>
  <c r="E53"/>
  <c r="AG39"/>
  <c r="AH40"/>
  <c r="O13"/>
  <c r="Q9"/>
  <c r="T28"/>
  <c r="Z49"/>
  <c r="R17"/>
  <c r="U7"/>
  <c r="P20"/>
  <c r="AI40"/>
  <c r="AI8"/>
  <c r="U31"/>
  <c r="H40"/>
  <c r="I40"/>
  <c r="G18"/>
  <c r="AG51"/>
  <c r="K33"/>
  <c r="AH12"/>
  <c r="AD9"/>
  <c r="V9"/>
  <c r="Q28"/>
  <c r="K47"/>
  <c r="N10"/>
  <c r="Z7"/>
  <c r="AD39"/>
  <c r="R59"/>
  <c r="L15"/>
  <c r="V51"/>
  <c r="S14"/>
  <c r="W39"/>
  <c r="T53"/>
  <c r="J28"/>
  <c r="R79"/>
  <c r="E10"/>
  <c r="T61"/>
  <c r="C27"/>
  <c r="I58"/>
  <c r="K35"/>
  <c r="H29"/>
  <c r="AB61"/>
  <c r="Z62"/>
  <c r="AH13"/>
  <c r="S32"/>
  <c r="P11"/>
  <c r="X11"/>
  <c r="Y34"/>
  <c r="D39"/>
  <c r="D8"/>
  <c r="L8"/>
  <c r="B76"/>
  <c r="AF52"/>
  <c r="L52"/>
  <c r="B71"/>
  <c r="AH16"/>
  <c r="S38"/>
  <c r="U48"/>
  <c r="AI39"/>
  <c r="Y33"/>
  <c r="D10"/>
  <c r="E36"/>
  <c r="C37"/>
  <c r="P49"/>
  <c r="P7"/>
  <c r="C33"/>
  <c r="S33"/>
  <c r="I26"/>
  <c r="AB54"/>
  <c r="AD20"/>
  <c r="D26"/>
  <c r="B41"/>
  <c r="L48"/>
  <c r="K29"/>
  <c r="AA29"/>
  <c r="T36"/>
  <c r="T52"/>
  <c r="AH18"/>
  <c r="H19"/>
  <c r="R33"/>
  <c r="G38"/>
  <c r="J14"/>
  <c r="R14"/>
  <c r="J50"/>
  <c r="Q50"/>
  <c r="AC54"/>
  <c r="J11"/>
  <c r="P14"/>
  <c r="M62"/>
  <c r="AE5"/>
  <c r="S12"/>
  <c r="Y52"/>
  <c r="X78"/>
  <c r="AA28"/>
  <c r="J10"/>
  <c r="Z6"/>
  <c r="K5"/>
  <c r="U11"/>
  <c r="G20"/>
  <c r="V15"/>
  <c r="AG6"/>
  <c r="I19"/>
  <c r="L39"/>
  <c r="T12"/>
  <c r="S36"/>
  <c r="W7"/>
  <c r="Z11"/>
  <c r="E54"/>
  <c r="AE30"/>
  <c r="J17"/>
  <c r="Y10"/>
  <c r="AI9"/>
  <c r="T16"/>
  <c r="T47"/>
  <c r="T38"/>
  <c r="Z19"/>
  <c r="L9"/>
  <c r="G13"/>
  <c r="K9"/>
  <c r="X49"/>
  <c r="S59"/>
  <c r="Z77"/>
  <c r="O6"/>
  <c r="S9"/>
  <c r="H14"/>
  <c r="AC7"/>
  <c r="L5"/>
  <c r="E12"/>
  <c r="W5"/>
  <c r="L40"/>
  <c r="J27"/>
  <c r="Z13"/>
  <c r="P34"/>
  <c r="I8"/>
  <c r="V35"/>
  <c r="Z12"/>
  <c r="AA12"/>
  <c r="L12"/>
  <c r="B8"/>
  <c r="AF7"/>
  <c r="F10"/>
  <c r="Q13"/>
  <c r="M15"/>
  <c r="AH29"/>
  <c r="M6"/>
  <c r="F27"/>
  <c r="B10"/>
  <c r="AC8"/>
  <c r="Z8"/>
  <c r="P12"/>
  <c r="N39"/>
  <c r="O12"/>
  <c r="Q8"/>
  <c r="L18"/>
  <c r="V33"/>
  <c r="V11"/>
  <c r="R6"/>
  <c r="B17"/>
  <c r="AD11"/>
  <c r="T25" i="9" l="1"/>
  <c r="U24"/>
  <c r="V24" s="1"/>
  <c r="W24" s="1"/>
  <c r="X24" s="1"/>
  <c r="Y24" s="1"/>
  <c r="Z24" s="1"/>
  <c r="AA24" s="1"/>
  <c r="AB24" s="1"/>
  <c r="AC24" s="1"/>
  <c r="AD24" s="1"/>
  <c r="AE24" s="1"/>
  <c r="I242"/>
  <c r="J241"/>
  <c r="K241" s="1"/>
  <c r="L241" s="1"/>
  <c r="M241" s="1"/>
  <c r="N241" s="1"/>
  <c r="O241" s="1"/>
  <c r="T26" l="1"/>
  <c r="U25"/>
  <c r="V25" s="1"/>
  <c r="W25" s="1"/>
  <c r="X25" s="1"/>
  <c r="Y25" s="1"/>
  <c r="Z25" s="1"/>
  <c r="AA25" s="1"/>
  <c r="AB25" s="1"/>
  <c r="AC25" s="1"/>
  <c r="AD25" s="1"/>
  <c r="AE25" s="1"/>
  <c r="I243"/>
  <c r="J242"/>
  <c r="K242" s="1"/>
  <c r="L242" s="1"/>
  <c r="M242" s="1"/>
  <c r="N242" s="1"/>
  <c r="O242" s="1"/>
  <c r="T27" l="1"/>
  <c r="U27" s="1"/>
  <c r="V27" s="1"/>
  <c r="W27" s="1"/>
  <c r="X27" s="1"/>
  <c r="Y27" s="1"/>
  <c r="Z27" s="1"/>
  <c r="AA27" s="1"/>
  <c r="AB27" s="1"/>
  <c r="AC27" s="1"/>
  <c r="AD27" s="1"/>
  <c r="AE27" s="1"/>
  <c r="U26"/>
  <c r="V26" s="1"/>
  <c r="W26" s="1"/>
  <c r="X26" s="1"/>
  <c r="Y26" s="1"/>
  <c r="Z26" s="1"/>
  <c r="AA26" s="1"/>
  <c r="AB26" s="1"/>
  <c r="AC26" s="1"/>
  <c r="AD26" s="1"/>
  <c r="AE26" s="1"/>
  <c r="I244"/>
  <c r="J244" s="1"/>
  <c r="K244" s="1"/>
  <c r="L244" s="1"/>
  <c r="M244" s="1"/>
  <c r="N244" s="1"/>
  <c r="O244" s="1"/>
  <c r="J243"/>
  <c r="K243" s="1"/>
  <c r="L243" s="1"/>
  <c r="M243" s="1"/>
  <c r="N243" s="1"/>
  <c r="O243" s="1"/>
</calcChain>
</file>

<file path=xl/comments1.xml><?xml version="1.0" encoding="utf-8"?>
<comments xmlns="http://schemas.openxmlformats.org/spreadsheetml/2006/main">
  <authors>
    <author>mloverde</author>
    <author>jmarks</author>
    <author>Alicia A. Diaz</author>
    <author>JLM</author>
    <author>jennifer berg</author>
    <author>Jeannie Reed</author>
  </authors>
  <commentList>
    <comment ref="A2" authorId="0">
      <text>
        <r>
          <rPr>
            <b/>
            <sz val="11"/>
            <color indexed="81"/>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M3" authorId="1">
      <text>
        <r>
          <rPr>
            <b/>
            <sz val="8"/>
            <color indexed="81"/>
            <rFont val="Tahoma"/>
            <family val="2"/>
          </rPr>
          <t>jmarks:</t>
        </r>
        <r>
          <rPr>
            <sz val="8"/>
            <color indexed="81"/>
            <rFont val="Tahoma"/>
            <family val="2"/>
          </rPr>
          <t xml:space="preserve">
* Satellite, cable TV, broadcast TV/radio, closed-circuit, video tape, CD ROMS.</t>
        </r>
      </text>
    </comment>
    <comment ref="P3" authorId="1">
      <text>
        <r>
          <rPr>
            <b/>
            <sz val="8"/>
            <color indexed="81"/>
            <rFont val="Tahoma"/>
            <family val="2"/>
          </rPr>
          <t>jmarks:</t>
        </r>
        <r>
          <rPr>
            <sz val="8"/>
            <color indexed="81"/>
            <rFont val="Tahoma"/>
            <family val="2"/>
          </rPr>
          <t xml:space="preserve">
* Satellite, cable TV, broadcast TV/radio, closed-circuit, video tape, CD ROMS.</t>
        </r>
      </text>
    </comment>
    <comment ref="AA3" authorId="1">
      <text>
        <r>
          <rPr>
            <b/>
            <sz val="8"/>
            <color indexed="81"/>
            <rFont val="Tahoma"/>
            <family val="2"/>
          </rPr>
          <t>jmarks:</t>
        </r>
        <r>
          <rPr>
            <sz val="8"/>
            <color indexed="81"/>
            <rFont val="Tahoma"/>
            <family val="2"/>
          </rPr>
          <t xml:space="preserve">
* Satellite, cable TV, broadcast TV/radio, closed-circuit, video tape, CD ROMS.</t>
        </r>
      </text>
    </comment>
    <comment ref="AD3" authorId="1">
      <text>
        <r>
          <rPr>
            <b/>
            <sz val="8"/>
            <color indexed="81"/>
            <rFont val="Tahoma"/>
            <family val="2"/>
          </rPr>
          <t>jmarks:</t>
        </r>
        <r>
          <rPr>
            <sz val="8"/>
            <color indexed="81"/>
            <rFont val="Tahoma"/>
            <family val="2"/>
          </rPr>
          <t xml:space="preserve">
* Satellite, cable TV, broadcast TV/radio, closed-circuit, video tape, CD ROMS.</t>
        </r>
      </text>
    </comment>
    <comment ref="B12" authorId="0">
      <text>
        <r>
          <rPr>
            <b/>
            <sz val="8"/>
            <color indexed="81"/>
            <rFont val="Tahoma"/>
            <family val="2"/>
          </rPr>
          <t>Met criteria for classification as a SREB Four-Year 5 in 2007-08, 2008-09.</t>
        </r>
      </text>
    </comment>
    <comment ref="B22" authorId="0">
      <text>
        <r>
          <rPr>
            <b/>
            <sz val="8"/>
            <color indexed="81"/>
            <rFont val="Tahoma"/>
            <family val="2"/>
          </rPr>
          <t>Met criteria for two-year 3 ("10") in 2008-09</t>
        </r>
      </text>
    </comment>
    <comment ref="B38" authorId="2">
      <text>
        <r>
          <rPr>
            <b/>
            <sz val="8"/>
            <color indexed="81"/>
            <rFont val="Tahoma"/>
            <family val="2"/>
          </rPr>
          <t>met the criteria for a SREB two-year 2 ("9") in 2008-09.</t>
        </r>
      </text>
    </comment>
    <comment ref="B51" authorId="0">
      <text>
        <r>
          <rPr>
            <b/>
            <sz val="10"/>
            <color indexed="81"/>
            <rFont val="Tahoma"/>
            <family val="2"/>
          </rPr>
          <t>Reclassified: met the criteria for classification as a SREB Four-Year 6 in 2006-07, 2007-08 and 2008-09.</t>
        </r>
      </text>
    </comment>
    <comment ref="B64" authorId="0">
      <text>
        <r>
          <rPr>
            <b/>
            <sz val="10"/>
            <color indexed="81"/>
            <rFont val="Tahoma"/>
            <family val="2"/>
          </rPr>
          <t>Met the criteria for classification as a SREB Two-Year 2 ("9") in 2008-09.</t>
        </r>
      </text>
    </comment>
    <comment ref="B80" authorId="2">
      <text>
        <r>
          <rPr>
            <b/>
            <sz val="8"/>
            <color indexed="81"/>
            <rFont val="Tahoma"/>
            <family val="2"/>
          </rPr>
          <t>met the criteria for a SREB two-year 2 ("9") in 2007-08, 2008-09</t>
        </r>
      </text>
    </comment>
    <comment ref="A81" authorId="3">
      <text>
        <r>
          <rPr>
            <b/>
            <sz val="10"/>
            <color indexed="81"/>
            <rFont val="Tahoma"/>
            <family val="2"/>
          </rPr>
          <t>JLM:</t>
        </r>
        <r>
          <rPr>
            <sz val="10"/>
            <color indexed="81"/>
            <rFont val="Tahoma"/>
            <family val="2"/>
          </rPr>
          <t xml:space="preserve">
Use 75% rule for e-learning.</t>
        </r>
      </text>
    </comment>
    <comment ref="B86" authorId="0">
      <text>
        <r>
          <rPr>
            <b/>
            <sz val="8"/>
            <color indexed="81"/>
            <rFont val="Tahoma"/>
            <family val="2"/>
          </rPr>
          <t>met the criteria for a SREB Four-Year 1 institution in 2007-08, 2008-09</t>
        </r>
      </text>
    </comment>
    <comment ref="B90" authorId="2">
      <text>
        <r>
          <rPr>
            <b/>
            <sz val="8"/>
            <color indexed="81"/>
            <rFont val="Tahoma"/>
            <family val="2"/>
          </rPr>
          <t>Reclassified: met the criteria for a SREB Four-Year 4 institution in 2006-07, 2007-08 and 2008-09</t>
        </r>
      </text>
    </comment>
    <comment ref="B94" authorId="2">
      <text>
        <r>
          <rPr>
            <b/>
            <sz val="8"/>
            <color indexed="81"/>
            <rFont val="Tahoma"/>
            <family val="2"/>
          </rPr>
          <t>Formerly Okaloosa-Walton College.
Reclassified: met the criteria for a SREB two-year with bachelor's ("7")  in 2006-07, 2007-08</t>
        </r>
      </text>
    </comment>
    <comment ref="B98" authorId="2">
      <text>
        <r>
          <rPr>
            <b/>
            <sz val="8"/>
            <color indexed="81"/>
            <rFont val="Tahoma"/>
            <family val="2"/>
          </rPr>
          <t>met the criteria for a SREB two-year with bachelor's ("7")  in 2007-08, 2008-09</t>
        </r>
      </text>
    </comment>
    <comment ref="B99" authorId="2">
      <text>
        <r>
          <rPr>
            <b/>
            <sz val="8"/>
            <color indexed="81"/>
            <rFont val="Tahoma"/>
            <family val="2"/>
          </rPr>
          <t>formerly Edison Community College. Met the criteria for a SREB two-year with bachelor's ("7")  in 2008-09</t>
        </r>
      </text>
    </comment>
    <comment ref="B105" authorId="2">
      <text>
        <r>
          <rPr>
            <b/>
            <sz val="8"/>
            <color indexed="81"/>
            <rFont val="Tahoma"/>
            <family val="2"/>
          </rPr>
          <t>Reclassified: met the criteria for a SREB two-year 1 ("8") in 2006-07, 2007-08, 2008-09.</t>
        </r>
      </text>
    </comment>
    <comment ref="B111" authorId="2">
      <text>
        <r>
          <rPr>
            <b/>
            <sz val="8"/>
            <color indexed="81"/>
            <rFont val="Tahoma"/>
            <family val="2"/>
          </rPr>
          <t>met the criteria for a SREB two-year 1 ("8") in 2008-09</t>
        </r>
      </text>
    </comment>
    <comment ref="B115" authorId="2">
      <text>
        <r>
          <rPr>
            <b/>
            <sz val="8"/>
            <color indexed="81"/>
            <rFont val="Tahoma"/>
            <family val="2"/>
          </rPr>
          <t>met the criteria for a SREB two-year 1 ("8") in 2007-08, 2008-09</t>
        </r>
      </text>
    </comment>
    <comment ref="B128" authorId="0">
      <text>
        <r>
          <rPr>
            <b/>
            <sz val="8"/>
            <color indexed="81"/>
            <rFont val="Tahoma"/>
            <family val="2"/>
          </rPr>
          <t>met the criteria for a SREB Four-Year 3 institution in 2008-09</t>
        </r>
      </text>
    </comment>
    <comment ref="B132" authorId="0">
      <text>
        <r>
          <rPr>
            <b/>
            <sz val="8"/>
            <color indexed="81"/>
            <rFont val="Tahoma"/>
            <family val="2"/>
          </rPr>
          <t>met the criteria for a SREB Four-Year 6 institution in 2008-09</t>
        </r>
      </text>
    </comment>
    <comment ref="B141" authorId="2">
      <text>
        <r>
          <rPr>
            <b/>
            <sz val="8"/>
            <color indexed="81"/>
            <rFont val="Tahoma"/>
            <family val="2"/>
          </rPr>
          <t>Reclassified: met the criteria for a SREB two-year 2 ("9") in 2006-07, 2007-08 and 2008-09.</t>
        </r>
      </text>
    </comment>
    <comment ref="B142" authorId="0">
      <text>
        <r>
          <rPr>
            <b/>
            <sz val="8"/>
            <color indexed="81"/>
            <rFont val="Tahoma"/>
            <family val="2"/>
          </rPr>
          <t>Was Coastal Georgia Community College.
Met criteria for two-year 3 ("10") in 2008-09</t>
        </r>
      </text>
    </comment>
    <comment ref="B144" authorId="2">
      <text>
        <r>
          <rPr>
            <b/>
            <sz val="8"/>
            <color indexed="81"/>
            <rFont val="Tahoma"/>
            <family val="2"/>
          </rPr>
          <t>met the criteria for a SREB two-year 1 ("8")  in 2007-08; met criteria for two-year with bachelors ("7") in 2008-09.</t>
        </r>
      </text>
    </comment>
    <comment ref="C147" authorId="2">
      <text>
        <r>
          <rPr>
            <b/>
            <sz val="8"/>
            <color indexed="81"/>
            <rFont val="Tahoma"/>
            <family val="2"/>
          </rPr>
          <t>Includes what used to be Georgia Aviation Technical College.</t>
        </r>
      </text>
    </comment>
    <comment ref="B179" authorId="2">
      <text>
        <r>
          <rPr>
            <b/>
            <sz val="8"/>
            <color indexed="81"/>
            <rFont val="Tahoma"/>
            <family val="2"/>
          </rPr>
          <t>met criteria for tech institute 1 ("12") in 2008-09</t>
        </r>
      </text>
    </comment>
    <comment ref="B180" authorId="2">
      <text>
        <r>
          <rPr>
            <b/>
            <sz val="8"/>
            <color indexed="81"/>
            <rFont val="Tahoma"/>
            <family val="2"/>
          </rPr>
          <t>met criteria for tech institute 1 ("12") in 2008-09</t>
        </r>
      </text>
    </comment>
    <comment ref="B181" authorId="2">
      <text>
        <r>
          <rPr>
            <b/>
            <sz val="8"/>
            <color indexed="81"/>
            <rFont val="Tahoma"/>
            <family val="2"/>
          </rPr>
          <t>met criteria for tech institute 1 ("12") in 2008-09</t>
        </r>
      </text>
    </comment>
    <comment ref="B183" authorId="2">
      <text>
        <r>
          <rPr>
            <b/>
            <sz val="8"/>
            <color indexed="81"/>
            <rFont val="Tahoma"/>
            <family val="2"/>
          </rPr>
          <t>met criteria for tech institute 1 ("12") in 2008-09</t>
        </r>
      </text>
    </comment>
    <comment ref="B187" authorId="2">
      <text>
        <r>
          <rPr>
            <b/>
            <sz val="8"/>
            <color indexed="81"/>
            <rFont val="Tahoma"/>
            <family val="2"/>
          </rPr>
          <t>Reclassified: Met the criteria for SREB four-year 1 in 2006-07, 2007-08, 2008-09.</t>
        </r>
      </text>
    </comment>
    <comment ref="B191" authorId="0">
      <text>
        <r>
          <rPr>
            <b/>
            <sz val="8"/>
            <color indexed="81"/>
            <rFont val="Tahoma"/>
            <family val="2"/>
          </rPr>
          <t>met the criteria for a SREB Four-Year 3 institution in 2008-09</t>
        </r>
      </text>
    </comment>
    <comment ref="B193" authorId="0">
      <text>
        <r>
          <rPr>
            <b/>
            <sz val="8"/>
            <color indexed="81"/>
            <rFont val="Tahoma"/>
            <family val="2"/>
          </rPr>
          <t>met the criteria for a SREB Four-Year 4 institution in 2008-09</t>
        </r>
      </text>
    </comment>
    <comment ref="B200" authorId="2">
      <text>
        <r>
          <rPr>
            <b/>
            <sz val="8"/>
            <color indexed="81"/>
            <rFont val="Tahoma"/>
            <family val="2"/>
          </rPr>
          <t>Reclassified: met the criteria for a SREB two-year 2 in 2006-07, 2007-08, 2008-09.</t>
        </r>
      </text>
    </comment>
    <comment ref="B205" authorId="2">
      <text>
        <r>
          <rPr>
            <b/>
            <sz val="8"/>
            <color indexed="81"/>
            <rFont val="Tahoma"/>
            <family val="2"/>
          </rPr>
          <t>Reclassified: met the criteria for a SREB two-year 3 in 2006-07, 2007-08, 2008-09.</t>
        </r>
      </text>
    </comment>
    <comment ref="B208" authorId="2">
      <text>
        <r>
          <rPr>
            <b/>
            <sz val="8"/>
            <color indexed="81"/>
            <rFont val="Tahoma"/>
            <family val="2"/>
          </rPr>
          <t>Reclassfied: met the criteria for a SREB tech institute or college 1 in 2006-07, 2007-08, 2008-09.</t>
        </r>
      </text>
    </comment>
    <comment ref="C211" authorId="2">
      <text>
        <r>
          <rPr>
            <b/>
            <sz val="8"/>
            <color indexed="81"/>
            <rFont val="Tahoma"/>
            <family val="2"/>
          </rPr>
          <t>Alicia A. Diaz:</t>
        </r>
        <r>
          <rPr>
            <sz val="8"/>
            <color indexed="81"/>
            <rFont val="Tahoma"/>
            <family val="2"/>
          </rPr>
          <t xml:space="preserve">
Louisiana Tech University has always been quarterly - may need to adjust calculations for years earlier than 2007</t>
        </r>
      </text>
    </comment>
    <comment ref="B222" authorId="0">
      <text>
        <r>
          <rPr>
            <b/>
            <sz val="8"/>
            <color indexed="81"/>
            <rFont val="Tahoma"/>
            <family val="2"/>
          </rPr>
          <t>met the criteria for classification as a SREB Four-year 4 institution in 2007-08, 2008-09.</t>
        </r>
      </text>
    </comment>
    <comment ref="B225" authorId="2">
      <text>
        <r>
          <rPr>
            <b/>
            <sz val="8"/>
            <color indexed="81"/>
            <rFont val="Tahoma"/>
            <family val="2"/>
          </rPr>
          <t>met criteria as a SREB two-year 1 ("8") institution in 2008-09</t>
        </r>
      </text>
    </comment>
    <comment ref="B231" authorId="2">
      <text>
        <r>
          <rPr>
            <b/>
            <sz val="8"/>
            <color indexed="81"/>
            <rFont val="Tahoma"/>
            <family val="2"/>
          </rPr>
          <t>met criteria as a SREB two-year 2 ("9") institution in 2008-09</t>
        </r>
      </text>
    </comment>
    <comment ref="B278" authorId="0">
      <text>
        <r>
          <rPr>
            <b/>
            <sz val="10"/>
            <color indexed="81"/>
            <rFont val="Tahoma"/>
            <family val="2"/>
          </rPr>
          <t>Reclassified: met the criteria for classification as a SREB Four-Year 3 in 2006-07, 2007-08 and 2008-09.</t>
        </r>
      </text>
    </comment>
    <comment ref="B298" authorId="0">
      <text>
        <r>
          <rPr>
            <b/>
            <sz val="10"/>
            <color indexed="81"/>
            <rFont val="Tahoma"/>
            <family val="2"/>
          </rPr>
          <t>Met the criteria for classification as a SREB Two-Year 2 ("9") in 2008-09.</t>
        </r>
      </text>
    </comment>
    <comment ref="B302" authorId="0">
      <text>
        <r>
          <rPr>
            <b/>
            <sz val="10"/>
            <color indexed="81"/>
            <rFont val="Tahoma"/>
            <family val="2"/>
          </rPr>
          <t>Met the criteria for classification as a SREB Two-Year 2 ("9") in 2008-09.</t>
        </r>
      </text>
    </comment>
    <comment ref="B304" authorId="0">
      <text>
        <r>
          <rPr>
            <b/>
            <sz val="8"/>
            <color indexed="81"/>
            <rFont val="Tahoma"/>
            <family val="2"/>
          </rPr>
          <t>Reclassified: met the criteria for classification as a SREB Four-Year 1 institution in 2005-06, 2006-07, 2007-08. Was a 4 year 2.</t>
        </r>
      </text>
    </comment>
    <comment ref="B307" authorId="0">
      <text>
        <r>
          <rPr>
            <b/>
            <sz val="8"/>
            <color indexed="81"/>
            <rFont val="Tahoma"/>
            <family val="2"/>
          </rPr>
          <t>met the criteria for a SREB Four-Year 1 institution in 2007-08</t>
        </r>
      </text>
    </comment>
    <comment ref="B311" authorId="0">
      <text>
        <r>
          <rPr>
            <b/>
            <sz val="8"/>
            <color indexed="81"/>
            <rFont val="Tahoma"/>
            <family val="2"/>
          </rPr>
          <t>met the criteria for a SREB Four-Year 4 institution in 2007-08</t>
        </r>
      </text>
    </comment>
    <comment ref="C312" authorId="4">
      <text>
        <r>
          <rPr>
            <sz val="8"/>
            <color indexed="8"/>
            <rFont val="Tahoma"/>
            <family val="2"/>
          </rPr>
          <t>includes Raymond campus (175786), Jackson campus (175777), Rankin campus (175795) and Vicksburg-Warren county (175801)</t>
        </r>
      </text>
    </comment>
    <comment ref="C315" authorId="4">
      <text>
        <r>
          <rPr>
            <sz val="8"/>
            <color indexed="8"/>
            <rFont val="Tahoma"/>
            <family val="2"/>
          </rPr>
          <t>includes Natchez campus (175564)</t>
        </r>
      </text>
    </comment>
    <comment ref="B319" authorId="2">
      <text>
        <r>
          <rPr>
            <b/>
            <sz val="8"/>
            <color indexed="81"/>
            <rFont val="Tahoma"/>
            <family val="2"/>
          </rPr>
          <t>met criteria as a SREB two-year 1 ("8") institution in 2008-09</t>
        </r>
      </text>
    </comment>
    <comment ref="C324" authorId="4">
      <text>
        <r>
          <rPr>
            <sz val="8"/>
            <color indexed="8"/>
            <rFont val="Tahoma"/>
            <family val="2"/>
          </rPr>
          <t>includes Forrest county center (408127)</t>
        </r>
      </text>
    </comment>
    <comment ref="B333" authorId="2">
      <text>
        <r>
          <rPr>
            <b/>
            <sz val="8"/>
            <color indexed="81"/>
            <rFont val="Tahoma"/>
            <family val="2"/>
          </rPr>
          <t>formerly North Carolina Agricultural and Technical State University</t>
        </r>
      </text>
    </comment>
    <comment ref="B337" authorId="0">
      <text>
        <r>
          <rPr>
            <b/>
            <sz val="8"/>
            <color indexed="81"/>
            <rFont val="Tahoma"/>
            <family val="2"/>
          </rPr>
          <t>met the criteria for a SREB Four-Year 3 institution in 2008-09</t>
        </r>
      </text>
    </comment>
    <comment ref="B358" authorId="2">
      <text>
        <r>
          <rPr>
            <b/>
            <sz val="8"/>
            <color indexed="81"/>
            <rFont val="Tahoma"/>
            <family val="2"/>
          </rPr>
          <t>Alicia A. Diaz:
met the criteria for SREB 2 Year 1 in 2008-09</t>
        </r>
      </text>
    </comment>
    <comment ref="B363" authorId="2">
      <text>
        <r>
          <rPr>
            <b/>
            <sz val="8"/>
            <color indexed="81"/>
            <rFont val="Tahoma"/>
            <family val="2"/>
          </rPr>
          <t>Alicia A. Diaz:
met the criteria for SREB 2 Year 1 in 2008-09</t>
        </r>
      </text>
    </comment>
    <comment ref="B368" authorId="2">
      <text>
        <r>
          <rPr>
            <b/>
            <sz val="8"/>
            <color indexed="81"/>
            <rFont val="Tahoma"/>
            <family val="2"/>
          </rPr>
          <t>Reclassified: met criteria as a SREB two-year 2 institution in 2006-07, 2007-08 and 2008-09.</t>
        </r>
      </text>
    </comment>
    <comment ref="B387" authorId="0">
      <text>
        <r>
          <rPr>
            <b/>
            <sz val="8"/>
            <color indexed="81"/>
            <rFont val="Tahoma"/>
            <family val="2"/>
          </rPr>
          <t>Reclassified: met the criteria for SREB Two-Year 3 in 2006-07, 2007-08 and 2008-09.</t>
        </r>
      </text>
    </comment>
    <comment ref="B414" authorId="0">
      <text>
        <r>
          <rPr>
            <b/>
            <sz val="8"/>
            <color indexed="81"/>
            <rFont val="Tahoma"/>
            <family val="2"/>
          </rPr>
          <t>Reclassified: met criteria as a SREB Two-Year with Bachelor's in 2006-07, 2007-08 and 2008-09</t>
        </r>
      </text>
    </comment>
    <comment ref="B415" authorId="2">
      <text>
        <r>
          <rPr>
            <b/>
            <sz val="8"/>
            <color indexed="81"/>
            <rFont val="Tahoma"/>
            <family val="2"/>
          </rPr>
          <t>met the criteria for SREB 2 Year 2 ("9") in 2008-09</t>
        </r>
      </text>
    </comment>
    <comment ref="B417" authorId="2">
      <text>
        <r>
          <rPr>
            <b/>
            <sz val="8"/>
            <color indexed="81"/>
            <rFont val="Tahoma"/>
            <family val="2"/>
          </rPr>
          <t>met the criteria for SREB 2 Year 3 ("10") in 2008-09</t>
        </r>
      </text>
    </comment>
    <comment ref="B435" authorId="0">
      <text>
        <r>
          <rPr>
            <b/>
            <sz val="8"/>
            <color indexed="81"/>
            <rFont val="Tahoma"/>
            <family val="2"/>
          </rPr>
          <t>met the criteria for a SREB Four-Year 6 institution in 2007-08</t>
        </r>
      </text>
    </comment>
    <comment ref="B439" authorId="0">
      <text>
        <r>
          <rPr>
            <b/>
            <sz val="8"/>
            <color indexed="81"/>
            <rFont val="Tahoma"/>
            <family val="2"/>
          </rPr>
          <t>met the criteria for a SREB Four-Year 6 institution in 2007-08</t>
        </r>
      </text>
    </comment>
    <comment ref="B462" authorId="2">
      <text>
        <r>
          <rPr>
            <b/>
            <sz val="8"/>
            <color indexed="81"/>
            <rFont val="Tahoma"/>
            <family val="2"/>
          </rPr>
          <t>Met the criteria for SREB four-year 1 in 2007-08, 2008-09</t>
        </r>
      </text>
    </comment>
    <comment ref="B467" authorId="2">
      <text>
        <r>
          <rPr>
            <b/>
            <sz val="8"/>
            <color indexed="81"/>
            <rFont val="Tahoma"/>
            <family val="2"/>
          </rPr>
          <t xml:space="preserve">met the criteria for a SREB Four-Year 3 institution in 2008-09
</t>
        </r>
      </text>
    </comment>
    <comment ref="B468" authorId="2">
      <text>
        <r>
          <rPr>
            <b/>
            <sz val="8"/>
            <color indexed="81"/>
            <rFont val="Tahoma"/>
            <family val="2"/>
          </rPr>
          <t xml:space="preserve">met the criteria for a SREB Four-Year 3 institution in 2007-08, 2008-09
</t>
        </r>
      </text>
    </comment>
    <comment ref="B515" authorId="2">
      <text>
        <r>
          <rPr>
            <b/>
            <sz val="8"/>
            <color indexed="81"/>
            <rFont val="Tahoma"/>
            <family val="2"/>
          </rPr>
          <t xml:space="preserve">Reclassified: met the criteria for a SREB Four-Year 1 institution in 2006-07, 2007-08, and 2008-09.
</t>
        </r>
      </text>
    </comment>
    <comment ref="B519" authorId="2">
      <text>
        <r>
          <rPr>
            <b/>
            <sz val="8"/>
            <color indexed="81"/>
            <rFont val="Tahoma"/>
            <family val="2"/>
          </rPr>
          <t>Reclassfied: met the criteria for a SREB Four-Year 2 institution in 2006-07, 2007-08 and 2008-09.</t>
        </r>
      </text>
    </comment>
    <comment ref="B534" authorId="2">
      <text>
        <r>
          <rPr>
            <b/>
            <sz val="8"/>
            <color indexed="81"/>
            <rFont val="Tahoma"/>
            <family val="2"/>
          </rPr>
          <t>met the criteria for a SREB Four-Year 2 institution in 2007-08, 2008-09</t>
        </r>
      </text>
    </comment>
    <comment ref="B539" authorId="2">
      <text>
        <r>
          <rPr>
            <b/>
            <sz val="8"/>
            <color indexed="81"/>
            <rFont val="Tahoma"/>
            <family val="2"/>
          </rPr>
          <t xml:space="preserve">met the criteria for a SREB Four-Year 3 institution in 2007-08, 2008-09
</t>
        </r>
      </text>
    </comment>
    <comment ref="B540" authorId="2">
      <text>
        <r>
          <rPr>
            <b/>
            <sz val="8"/>
            <color indexed="81"/>
            <rFont val="Tahoma"/>
            <family val="2"/>
          </rPr>
          <t xml:space="preserve">met the criteria for a SREB Four-Year 3 institution in 2008-09
</t>
        </r>
      </text>
    </comment>
    <comment ref="B544" authorId="2">
      <text>
        <r>
          <rPr>
            <b/>
            <sz val="8"/>
            <color indexed="81"/>
            <rFont val="Tahoma"/>
            <family val="2"/>
          </rPr>
          <t xml:space="preserve">met the criteria for a SREB Four-Year 4 institution in 2007-08, 2008-09
</t>
        </r>
      </text>
    </comment>
    <comment ref="B566" authorId="0">
      <text>
        <r>
          <rPr>
            <b/>
            <sz val="8"/>
            <color indexed="81"/>
            <rFont val="Tahoma"/>
            <family val="2"/>
          </rPr>
          <t>met criteria as a SREB Two-Year with Bachelor's ("7") in 2007-08, 2008-09.</t>
        </r>
      </text>
    </comment>
    <comment ref="B573" authorId="0">
      <text>
        <r>
          <rPr>
            <b/>
            <sz val="8"/>
            <color indexed="81"/>
            <rFont val="Tahoma"/>
            <family val="2"/>
          </rPr>
          <t>met criteria as a SREB Two-Year with Bachelor's ("7") in 2007-08, 2008-09.</t>
        </r>
      </text>
    </comment>
    <comment ref="B577" authorId="0">
      <text>
        <r>
          <rPr>
            <b/>
            <sz val="8"/>
            <color indexed="81"/>
            <rFont val="Tahoma"/>
            <family val="2"/>
          </rPr>
          <t>met criteria as a SREB Two-Year 1 ("8") in 2008-09.</t>
        </r>
      </text>
    </comment>
    <comment ref="B584" authorId="0">
      <text>
        <r>
          <rPr>
            <b/>
            <sz val="8"/>
            <color indexed="81"/>
            <rFont val="Tahoma"/>
            <family val="2"/>
          </rPr>
          <t>met criteria as a SREB Two-Year with Bachelor's ("7") in 2007-08, 2008-09.</t>
        </r>
      </text>
    </comment>
    <comment ref="B586" authorId="0">
      <text>
        <r>
          <rPr>
            <b/>
            <sz val="8"/>
            <color indexed="81"/>
            <rFont val="Tahoma"/>
            <family val="2"/>
          </rPr>
          <t>met criteria as a SREB Two-Year 1 ("8") in 2008-09.</t>
        </r>
      </text>
    </comment>
    <comment ref="C606" authorId="2">
      <text>
        <r>
          <rPr>
            <b/>
            <sz val="8"/>
            <color indexed="81"/>
            <rFont val="Tahoma"/>
            <family val="2"/>
          </rPr>
          <t>Alicia A. Diaz:</t>
        </r>
        <r>
          <rPr>
            <sz val="8"/>
            <color indexed="81"/>
            <rFont val="Tahoma"/>
            <family val="2"/>
          </rPr>
          <t xml:space="preserve">
Not assigned until SACS accreditation</t>
        </r>
      </text>
    </comment>
    <comment ref="B619" authorId="0">
      <text>
        <r>
          <rPr>
            <b/>
            <sz val="8"/>
            <color indexed="81"/>
            <rFont val="Tahoma"/>
            <family val="2"/>
          </rPr>
          <t>met the criteria for a SREB Four-Year 5 institution in 2007-08, 2008-09</t>
        </r>
      </text>
    </comment>
    <comment ref="B621" authorId="0">
      <text>
        <r>
          <rPr>
            <b/>
            <sz val="8"/>
            <color indexed="81"/>
            <rFont val="Tahoma"/>
            <family val="2"/>
          </rPr>
          <t>met the criteria for a SREB Four-Year 5 institution in 2008-09</t>
        </r>
      </text>
    </comment>
    <comment ref="B622" authorId="5">
      <text>
        <r>
          <rPr>
            <b/>
            <sz val="8"/>
            <color indexed="81"/>
            <rFont val="Tahoma"/>
            <family val="2"/>
          </rPr>
          <t xml:space="preserve">Formerly </t>
        </r>
        <r>
          <rPr>
            <sz val="8"/>
            <color indexed="81"/>
            <rFont val="Tahoma"/>
            <family val="2"/>
          </rPr>
          <t xml:space="preserve">West Liberty State College </t>
        </r>
      </text>
    </comment>
    <comment ref="B626" authorId="2">
      <text>
        <r>
          <rPr>
            <b/>
            <sz val="8"/>
            <color indexed="81"/>
            <rFont val="Tahoma"/>
            <family val="2"/>
          </rPr>
          <t>met criteria as a SREB two-year 3 ("10") institution in 2007-08, 2008-09.</t>
        </r>
      </text>
    </comment>
    <comment ref="C626" authorId="2">
      <text>
        <r>
          <rPr>
            <b/>
            <sz val="8"/>
            <color indexed="81"/>
            <rFont val="Tahoma"/>
            <family val="2"/>
          </rPr>
          <t>Formerly Fairmont State Community &amp; Technical College</t>
        </r>
      </text>
    </comment>
    <comment ref="C627" authorId="2">
      <text>
        <r>
          <rPr>
            <b/>
            <sz val="8"/>
            <color indexed="81"/>
            <rFont val="Tahoma"/>
            <family val="2"/>
          </rPr>
          <t>Formerly Community &amp; Technical College of Shepherd</t>
        </r>
      </text>
    </comment>
    <comment ref="J627" authorId="5">
      <text>
        <r>
          <rPr>
            <b/>
            <sz val="8"/>
            <color indexed="81"/>
            <rFont val="Tahoma"/>
            <family val="2"/>
          </rPr>
          <t>Jeannie Reed:</t>
        </r>
        <r>
          <rPr>
            <sz val="8"/>
            <color indexed="81"/>
            <rFont val="Tahoma"/>
            <family val="2"/>
          </rPr>
          <t xml:space="preserve">
New centers opened.</t>
        </r>
      </text>
    </comment>
    <comment ref="B632" authorId="2">
      <text>
        <r>
          <rPr>
            <b/>
            <sz val="8"/>
            <color indexed="81"/>
            <rFont val="Tahoma"/>
            <family val="2"/>
          </rPr>
          <t>met criteria as a SREB two-year with bachelor's ("7") institution in 2007-08, 2008-09.</t>
        </r>
      </text>
    </comment>
  </commentList>
</comments>
</file>

<file path=xl/comments2.xml><?xml version="1.0" encoding="utf-8"?>
<comments xmlns="http://schemas.openxmlformats.org/spreadsheetml/2006/main">
  <authors>
    <author>JLM</author>
  </authors>
  <commentList>
    <comment ref="G5" authorId="0">
      <text>
        <r>
          <rPr>
            <b/>
            <sz val="10"/>
            <color indexed="81"/>
            <rFont val="Tahoma"/>
            <family val="2"/>
          </rPr>
          <t>JLM:</t>
        </r>
        <r>
          <rPr>
            <sz val="10"/>
            <color indexed="81"/>
            <rFont val="Tahoma"/>
            <family val="2"/>
          </rPr>
          <t xml:space="preserve">
Need notes: 
AL A&amp;M, U Montevallo, Athens State didn't report this year.
In MD 4-yr, Bowie St, St. Mary's came in; 2-yr Prince George's &amp; Balt. City CC didn't report</t>
        </r>
      </text>
    </comment>
    <comment ref="H222" authorId="0">
      <text>
        <r>
          <rPr>
            <b/>
            <sz val="10"/>
            <color indexed="81"/>
            <rFont val="Tahoma"/>
            <family val="2"/>
          </rPr>
          <t>JLM:</t>
        </r>
        <r>
          <rPr>
            <sz val="10"/>
            <color indexed="81"/>
            <rFont val="Tahoma"/>
            <family val="2"/>
          </rPr>
          <t xml:space="preserve">
Need notes: 
In MD 2-yr Prince George's &amp; Balt. City CC didn't report</t>
        </r>
      </text>
    </comment>
  </commentList>
</comments>
</file>

<file path=xl/connections.xml><?xml version="1.0" encoding="utf-8"?>
<connections xmlns="http://schemas.openxmlformats.org/spreadsheetml/2006/main">
  <connection id="1" name="Dual07" type="6" refreshedVersion="3" background="1" saveData="1">
    <textPr codePage="437" sourceFile="\\CBNA42\UserDoc$\meaddd\My Documents\My SAS Files\SREB\QWK03256\Dual07.txt">
      <textFields>
        <textField/>
      </textFields>
    </textPr>
  </connection>
  <connection id="2" name="Dual08" type="6" refreshedVersion="3" background="1" saveData="1">
    <textPr codePage="437" sourceFile="\\CBNA42\UserDoc$\meaddd\My Documents\My SAS Files\SREB\QWK03256\Dual08.txt">
      <textFields>
        <textField/>
      </textFields>
    </textPr>
  </connection>
  <connection id="3" name="JrCH08ug1" type="6" refreshedVersion="3" background="1" saveData="1">
    <textPr codePage="437" sourceFile="\\CBNA42\UserDoc$\meaddd\My Documents\My SAS Files\SREB\QWK03256\JrCH08ug1.txt">
      <textFields>
        <textField/>
      </textFields>
    </textPr>
  </connection>
  <connection id="4" name="JrCH08ug2" type="6" refreshedVersion="3" background="1" saveData="1">
    <textPr codePage="437" sourceFile="\\CBNA42\UserDoc$\meaddd\My Documents\My SAS Files\SREB\QWK03256\JrCH08ug2.txt">
      <textFields>
        <textField/>
      </textFields>
    </textPr>
  </connection>
  <connection id="5" name="JrCH08ug3" type="6" refreshedVersion="3" background="1" saveData="1">
    <textPr codePage="437" sourceFile="\\CBNA42\UserDoc$\meaddd\My Documents\My SAS Files\SREB\QWK03256\JrCH08ug3.txt">
      <textFields>
        <textField/>
      </textFields>
    </textPr>
  </connection>
  <connection id="6" name="JrCH08ug4" type="6" refreshedVersion="3" background="1" saveData="1">
    <textPr codePage="437" sourceFile="\\CBNA42\UserDoc$\meaddd\My Documents\My SAS Files\SREB\QWK03256\JrCH08ug4.txt">
      <textFields>
        <textField/>
      </textFields>
    </textPr>
  </connection>
  <connection id="7" name="JrSCH08ug1" type="6" refreshedVersion="3" background="1" saveData="1">
    <textPr codePage="437" sourceFile="\\CBNA42\UserDoc$\meaddd\My Documents\My SAS Files\SREB\QWK03256\JrSCH08ug1.txt">
      <textFields>
        <textField/>
      </textFields>
    </textPr>
  </connection>
  <connection id="8" name="JrSCH08ug2" type="6" refreshedVersion="3" background="1" saveData="1">
    <textPr codePage="437" sourceFile="\\CBNA42\UserDoc$\meaddd\My Documents\My SAS Files\SREB\QWK03256\JrSCH08ug2.txt">
      <textFields>
        <textField/>
      </textFields>
    </textPr>
  </connection>
  <connection id="9" name="JrSCH08ug3" type="6" refreshedVersion="3" background="1" saveData="1">
    <textPr codePage="437" sourceFile="\\CBNA42\UserDoc$\meaddd\My Documents\My SAS Files\SREB\QWK03256\JrSCH08ug3.txt">
      <textFields>
        <textField/>
      </textFields>
    </textPr>
  </connection>
  <connection id="10" name="JrSCH08ug4" type="6" refreshedVersion="3" background="1" saveData="1">
    <textPr codePage="437" sourceFile="\\CBNA42\UserDoc$\meaddd\My Documents\My SAS Files\SREB\QWK03256\JrSCH08ug4.txt">
      <textFields>
        <textField/>
      </textFields>
    </textPr>
  </connection>
  <connection id="11" name="SrSCH08gr2" type="6" refreshedVersion="3" background="1" saveData="1">
    <textPr codePage="437" sourceFile="\\CBNA42\UserDoc$\meaddd\My Documents\My SAS Files\SREB\QWK03256\SrSCH08gr2.txt">
      <textFields>
        <textField/>
      </textFields>
    </textPr>
  </connection>
  <connection id="12" name="SrSCH08gr3" type="6" refreshedVersion="3" background="1" saveData="1">
    <textPr codePage="437" sourceFile="\\CBNA42\UserDoc$\meaddd\My Documents\My SAS Files\SREB\QWK03256\SrSCH08gr3.txt">
      <textFields>
        <textField/>
      </textFields>
    </textPr>
  </connection>
  <connection id="13" name="SrSCH08gr4" type="6" refreshedVersion="3" background="1" saveData="1">
    <textPr codePage="437" sourceFile="\\CBNA42\UserDoc$\meaddd\My Documents\My SAS Files\SREB\QWK03256\SrSCH08gr4.txt">
      <textFields>
        <textField/>
      </textFields>
    </textPr>
  </connection>
  <connection id="14" name="SrSCH08ug2" type="6" refreshedVersion="3" background="1" saveData="1">
    <textPr codePage="437" sourceFile="\\CBNA42\UserDoc$\meaddd\My Documents\My SAS Files\SREB\QWK03256\SrSCH08ug2.txt">
      <textFields>
        <textField/>
      </textFields>
    </textPr>
  </connection>
  <connection id="15" name="SrSCH08ug3" type="6" refreshedVersion="3" background="1" saveData="1">
    <textPr codePage="437" sourceFile="\\CBNA42\UserDoc$\meaddd\My Documents\My SAS Files\SREB\QWK03256\SrSCH08ug3.txt">
      <textFields>
        <textField/>
      </textFields>
    </textPr>
  </connection>
  <connection id="16" name="SrSCH08ug4" type="6" refreshedVersion="3" background="1" saveData="1">
    <textPr codePage="437" sourceFile="\\CBNA42\UserDoc$\meaddd\My Documents\My SAS Files\SREB\QWK03256\SrSCH08ug4.txt">
      <textFields>
        <textField/>
      </textFields>
    </textPr>
  </connection>
</connections>
</file>

<file path=xl/sharedStrings.xml><?xml version="1.0" encoding="utf-8"?>
<sst xmlns="http://schemas.openxmlformats.org/spreadsheetml/2006/main" count="3249" uniqueCount="900">
  <si>
    <t>Table 56</t>
  </si>
  <si>
    <t>Table 57</t>
  </si>
  <si>
    <t>Table 58</t>
  </si>
  <si>
    <t>Table 59</t>
  </si>
  <si>
    <t>Table 60</t>
  </si>
  <si>
    <t>Table 61</t>
  </si>
  <si>
    <t>Table 62</t>
  </si>
  <si>
    <t>Table 63</t>
  </si>
  <si>
    <t>Table 64</t>
  </si>
  <si>
    <t>Table 65</t>
  </si>
  <si>
    <t>Table 66</t>
  </si>
  <si>
    <t>Table 67</t>
  </si>
  <si>
    <t>Table 68</t>
  </si>
  <si>
    <t>Table 69</t>
  </si>
  <si>
    <t>Table 70</t>
  </si>
  <si>
    <t>Table 71</t>
  </si>
  <si>
    <t>Table 72</t>
  </si>
  <si>
    <t>Table 73</t>
  </si>
  <si>
    <t>Table 74</t>
  </si>
  <si>
    <t>All</t>
  </si>
  <si>
    <t>Table 75</t>
  </si>
  <si>
    <t>Off-Campus</t>
  </si>
  <si>
    <t>On-Campus</t>
  </si>
  <si>
    <t>Undergraduate Instructional Activity by Type of Instruction</t>
  </si>
  <si>
    <t>Graduate Instructional Activity by Type of Instruction</t>
  </si>
  <si>
    <t>Percent of Graduate Instructional Activity</t>
  </si>
  <si>
    <t xml:space="preserve"> in Traditional Classroom Instruction</t>
  </si>
  <si>
    <t>Table 76</t>
  </si>
  <si>
    <t>Subtotal</t>
  </si>
  <si>
    <t>Percent of Graduate Instructional Activity in e-Learning</t>
  </si>
  <si>
    <t>e-Learning</t>
  </si>
  <si>
    <t>Corre- spondence</t>
  </si>
  <si>
    <r>
      <t>Other</t>
    </r>
    <r>
      <rPr>
        <b/>
        <vertAlign val="superscript"/>
        <sz val="9"/>
        <rFont val="Arial"/>
        <family val="2"/>
      </rPr>
      <t>1</t>
    </r>
  </si>
  <si>
    <r>
      <t>Maryland</t>
    </r>
    <r>
      <rPr>
        <vertAlign val="superscript"/>
        <sz val="10"/>
        <rFont val="Arial"/>
        <family val="2"/>
      </rPr>
      <t>2</t>
    </r>
  </si>
  <si>
    <r>
      <t>West Virginia</t>
    </r>
    <r>
      <rPr>
        <vertAlign val="superscript"/>
        <sz val="10"/>
        <rFont val="Arial"/>
        <family val="2"/>
      </rPr>
      <t>3</t>
    </r>
  </si>
  <si>
    <r>
      <t>1</t>
    </r>
    <r>
      <rPr>
        <sz val="8"/>
        <rFont val="Arial"/>
        <family val="2"/>
      </rPr>
      <t>Courses delivered via satellite, cable TV, broadcast TV/radio, closed-circuit TV, video tape, CD-ROMS, e-mail, etc.</t>
    </r>
  </si>
  <si>
    <t>Calculated</t>
  </si>
  <si>
    <t>Table 55</t>
  </si>
  <si>
    <t>Table 51</t>
  </si>
  <si>
    <t xml:space="preserve"> Old %UG OnC Trad</t>
  </si>
  <si>
    <t>Total  Old %UG OnC Trad</t>
  </si>
  <si>
    <t xml:space="preserve"> New %UG OnC Trad</t>
  </si>
  <si>
    <t>Total  New %UG OnC Trad</t>
  </si>
  <si>
    <t xml:space="preserve"> Old %UG OffC Trad</t>
  </si>
  <si>
    <t>Total  Old %UG OffC Trad</t>
  </si>
  <si>
    <t xml:space="preserve"> New %UG OffC Trad</t>
  </si>
  <si>
    <t>Total  New %UG OffC Trad</t>
  </si>
  <si>
    <t xml:space="preserve"> Old %G OnC Trad</t>
  </si>
  <si>
    <t>Total  Old %G OnC Trad</t>
  </si>
  <si>
    <t xml:space="preserve"> Old %UG EL Web</t>
  </si>
  <si>
    <t>Total  Old %UG EL Web</t>
  </si>
  <si>
    <t xml:space="preserve"> New %UG EL Web</t>
  </si>
  <si>
    <t>Total  New %UG EL Web</t>
  </si>
  <si>
    <t xml:space="preserve"> Old %UG EL CV</t>
  </si>
  <si>
    <t>Total  Old %UG EL CV</t>
  </si>
  <si>
    <t xml:space="preserve"> New %UG EL CV</t>
  </si>
  <si>
    <t>Total  New %UG EL CV</t>
  </si>
  <si>
    <t xml:space="preserve"> Old %UG EL O</t>
  </si>
  <si>
    <t>Total  Old %UG EL O</t>
  </si>
  <si>
    <t xml:space="preserve"> New %UG EL O</t>
  </si>
  <si>
    <t>Total  New %UG EL O</t>
  </si>
  <si>
    <t xml:space="preserve"> Old %UG Cor</t>
  </si>
  <si>
    <t>Total  Old %UG Cor</t>
  </si>
  <si>
    <t xml:space="preserve"> New %UG Cor</t>
  </si>
  <si>
    <t>Total  New %UG Cor</t>
  </si>
  <si>
    <t xml:space="preserve"> New %G OnC Trad</t>
  </si>
  <si>
    <t>Total  New %G OnC Trad</t>
  </si>
  <si>
    <t xml:space="preserve"> Old %G OffC Trad</t>
  </si>
  <si>
    <t>Total  Old %G OffC Trad</t>
  </si>
  <si>
    <t xml:space="preserve"> New %G OffC Trad</t>
  </si>
  <si>
    <t>Total  New %G OffC Trad</t>
  </si>
  <si>
    <t xml:space="preserve"> Old %G EL Web</t>
  </si>
  <si>
    <t>Total  Old %G EL Web</t>
  </si>
  <si>
    <t xml:space="preserve"> New %G EL Web</t>
  </si>
  <si>
    <t>Total  New %G EL Web</t>
  </si>
  <si>
    <t xml:space="preserve"> Old %G EL CV</t>
  </si>
  <si>
    <t>Total  Old %G EL CV</t>
  </si>
  <si>
    <t xml:space="preserve"> New %G EL CV</t>
  </si>
  <si>
    <t>Total  New %G EL CV</t>
  </si>
  <si>
    <t xml:space="preserve"> Old %G EL O</t>
  </si>
  <si>
    <t>Total  Old %G EL O</t>
  </si>
  <si>
    <t xml:space="preserve"> New %G EL O</t>
  </si>
  <si>
    <t>Total  New %G EL O</t>
  </si>
  <si>
    <t xml:space="preserve"> Old %G Cor</t>
  </si>
  <si>
    <t>Total  Old %G Cor</t>
  </si>
  <si>
    <t xml:space="preserve"> New %G Cor</t>
  </si>
  <si>
    <t>Total  New %G Cor</t>
  </si>
  <si>
    <t xml:space="preserve"> Change %UG OnC Trad</t>
  </si>
  <si>
    <t>Total  Change %UG OnC Trad</t>
  </si>
  <si>
    <t xml:space="preserve"> Change %G OnC Trad</t>
  </si>
  <si>
    <t>Total  Change %G OnC Trad</t>
  </si>
  <si>
    <t xml:space="preserve"> Change %UG Cor</t>
  </si>
  <si>
    <t>Total  Change %UG Cor</t>
  </si>
  <si>
    <t xml:space="preserve"> Change %G OffC Trad</t>
  </si>
  <si>
    <t>Total  Change %G OffC Trad</t>
  </si>
  <si>
    <t xml:space="preserve"> Change %UG OffC Trad</t>
  </si>
  <si>
    <t>Total  Change %UG OffC Trad</t>
  </si>
  <si>
    <t xml:space="preserve"> Change %UG EL Web</t>
  </si>
  <si>
    <t>Total  Change %UG EL Web</t>
  </si>
  <si>
    <t xml:space="preserve"> Change %G EL Web</t>
  </si>
  <si>
    <t>Total  Change %G EL Web</t>
  </si>
  <si>
    <t xml:space="preserve"> Change %G EL CV</t>
  </si>
  <si>
    <t>Total  Change %G EL CV</t>
  </si>
  <si>
    <t xml:space="preserve"> Change %UG EL CV</t>
  </si>
  <si>
    <t>Total  Change %UG EL CV</t>
  </si>
  <si>
    <t xml:space="preserve"> Change %UG EL O</t>
  </si>
  <si>
    <t>Total  Change %UG EL O</t>
  </si>
  <si>
    <t xml:space="preserve"> Change %G EL O</t>
  </si>
  <si>
    <t>Total  Change %G EL O</t>
  </si>
  <si>
    <t xml:space="preserve"> Change %G Cor</t>
  </si>
  <si>
    <t>Total  Change %G Cor</t>
  </si>
  <si>
    <r>
      <t>Florida</t>
    </r>
    <r>
      <rPr>
        <vertAlign val="superscript"/>
        <sz val="10"/>
        <rFont val="Arial"/>
        <family val="2"/>
      </rPr>
      <t>2</t>
    </r>
  </si>
  <si>
    <r>
      <t>2</t>
    </r>
    <r>
      <rPr>
        <sz val="8"/>
        <rFont val="Arial"/>
        <family val="2"/>
      </rPr>
      <t>The university system in Florida uses a 75 percent rule to define e-learning so their figures here are likely lower than they would be if they used the 50 percent rule.</t>
    </r>
  </si>
  <si>
    <r>
      <t>3</t>
    </r>
    <r>
      <rPr>
        <sz val="8"/>
        <rFont val="Arial"/>
        <family val="2"/>
      </rPr>
      <t>This "all four-year" table includes the University of Maryland University College.</t>
    </r>
  </si>
  <si>
    <r>
      <t>Maryland</t>
    </r>
    <r>
      <rPr>
        <vertAlign val="superscript"/>
        <sz val="10"/>
        <rFont val="Arial"/>
        <family val="2"/>
      </rPr>
      <t>3</t>
    </r>
  </si>
  <si>
    <r>
      <t>Florida</t>
    </r>
    <r>
      <rPr>
        <vertAlign val="superscript"/>
        <sz val="10"/>
        <rFont val="Arial"/>
        <family val="2"/>
      </rPr>
      <t>1</t>
    </r>
  </si>
  <si>
    <r>
      <t>Mississippi</t>
    </r>
    <r>
      <rPr>
        <vertAlign val="superscript"/>
        <sz val="10"/>
        <rFont val="Arial"/>
        <family val="2"/>
      </rPr>
      <t>3</t>
    </r>
  </si>
  <si>
    <r>
      <t>Maryland</t>
    </r>
    <r>
      <rPr>
        <vertAlign val="superscript"/>
        <sz val="10"/>
        <rFont val="Arial"/>
        <family val="2"/>
      </rPr>
      <t>1</t>
    </r>
  </si>
  <si>
    <r>
      <t xml:space="preserve">1 </t>
    </r>
    <r>
      <rPr>
        <sz val="8"/>
        <rFont val="Arial"/>
        <family val="2"/>
      </rPr>
      <t>The "all four-year" figure includes University of Maryland University College.</t>
    </r>
  </si>
  <si>
    <r>
      <t>2</t>
    </r>
    <r>
      <rPr>
        <sz val="8"/>
        <rFont val="Arial"/>
        <family val="2"/>
      </rPr>
      <t xml:space="preserve"> The "all four-year" figure includes University of Maryland University College.</t>
    </r>
  </si>
  <si>
    <r>
      <t>1</t>
    </r>
    <r>
      <rPr>
        <sz val="8"/>
        <rFont val="Arial"/>
        <family val="2"/>
      </rPr>
      <t xml:space="preserve"> The "all four-year" figure includes University of Maryland University College.</t>
    </r>
  </si>
  <si>
    <t>Sum of Old UG E-Learning</t>
  </si>
  <si>
    <t>Sum of Old G E-Learning</t>
  </si>
  <si>
    <t>Sum of Old-Tot G SCH Calc</t>
  </si>
  <si>
    <t>Sum of NEW-Tot UG SCH Calc</t>
  </si>
  <si>
    <t>Sum of New UG E-Learning</t>
  </si>
  <si>
    <t>Sum of New G E-Learning</t>
  </si>
  <si>
    <t>Sum of OLD-Tot UG SCH Calc</t>
  </si>
  <si>
    <t>Sum of New-Tot G SCH Calc</t>
  </si>
  <si>
    <t>AR</t>
  </si>
  <si>
    <t>LA</t>
  </si>
  <si>
    <t>KY</t>
  </si>
  <si>
    <t>OK</t>
  </si>
  <si>
    <t>TX</t>
  </si>
  <si>
    <t>AL</t>
  </si>
  <si>
    <t>DE</t>
  </si>
  <si>
    <t>SC</t>
  </si>
  <si>
    <t>TN</t>
  </si>
  <si>
    <t>VA</t>
  </si>
  <si>
    <t>this year</t>
  </si>
  <si>
    <t>Undergraduate Credit Hours</t>
  </si>
  <si>
    <t>Graduate Credit Hours</t>
  </si>
  <si>
    <t>Total UG SCH</t>
  </si>
  <si>
    <t>2007-08</t>
  </si>
  <si>
    <t>4-year</t>
  </si>
  <si>
    <t>Total</t>
  </si>
  <si>
    <t>2-year</t>
  </si>
  <si>
    <t>Tech</t>
  </si>
  <si>
    <t>E-Learning UG SCH</t>
  </si>
  <si>
    <t>Total G SCH</t>
  </si>
  <si>
    <t>E-Learning G SCH</t>
  </si>
  <si>
    <t xml:space="preserve">University of Alabama </t>
  </si>
  <si>
    <t>University of Alabama at Birmingham</t>
  </si>
  <si>
    <t>University of Alabama in Huntsville</t>
  </si>
  <si>
    <t>Alabama Agricultural &amp; Mechanical University</t>
  </si>
  <si>
    <t xml:space="preserve">Jacksonville State University </t>
  </si>
  <si>
    <t>University of South Alabama</t>
  </si>
  <si>
    <t xml:space="preserve">Alabama State University </t>
  </si>
  <si>
    <t>Auburn University at Montgomery</t>
  </si>
  <si>
    <t>Troy University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</si>
  <si>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</si>
  <si>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</si>
  <si>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</si>
  <si>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</si>
  <si>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</si>
  <si>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</si>
  <si>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</si>
  <si>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</si>
  <si>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</si>
  <si>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George C. Wallace State Community College - Dothan</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</si>
  <si>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</si>
  <si>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</si>
  <si>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</si>
  <si>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</si>
  <si>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</si>
  <si>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</si>
  <si>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</si>
  <si>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</si>
  <si>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</si>
  <si>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Enterprise-Ozark Community College</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</si>
  <si>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</si>
  <si>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</si>
  <si>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</si>
  <si>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</si>
  <si>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</si>
  <si>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</si>
  <si>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</si>
  <si>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</si>
  <si>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</si>
  <si>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NOT a Review Table</t>
  </si>
  <si>
    <t>type</t>
  </si>
  <si>
    <t>change</t>
  </si>
  <si>
    <t>4-yr</t>
  </si>
  <si>
    <t>2-yr</t>
  </si>
  <si>
    <t>tech</t>
  </si>
  <si>
    <t>Web</t>
  </si>
  <si>
    <t xml:space="preserve"> </t>
  </si>
  <si>
    <t>State</t>
  </si>
  <si>
    <t>Institution</t>
  </si>
  <si>
    <t>WV</t>
  </si>
  <si>
    <t>MS</t>
  </si>
  <si>
    <t>NC</t>
  </si>
  <si>
    <t>Data</t>
  </si>
  <si>
    <t>Four-Year</t>
  </si>
  <si>
    <t>Mississippi</t>
  </si>
  <si>
    <t>Oklahoma</t>
  </si>
  <si>
    <t>West Virginia</t>
  </si>
  <si>
    <t>Type2</t>
  </si>
  <si>
    <t>Two-Year</t>
  </si>
  <si>
    <t>Traditional</t>
  </si>
  <si>
    <t>2-Way Compressed Video</t>
  </si>
  <si>
    <t>check figs</t>
  </si>
  <si>
    <t>North Carolina</t>
  </si>
  <si>
    <t>Texas</t>
  </si>
  <si>
    <t>with bachs.</t>
  </si>
  <si>
    <t>Percent of Total</t>
  </si>
  <si>
    <t>FL</t>
  </si>
  <si>
    <t>GA</t>
  </si>
  <si>
    <t>MD</t>
  </si>
  <si>
    <t>Technical</t>
  </si>
  <si>
    <t>Alabama</t>
  </si>
  <si>
    <t>Arkansas</t>
  </si>
  <si>
    <t>Delaware</t>
  </si>
  <si>
    <t>Florida</t>
  </si>
  <si>
    <t>Georgia</t>
  </si>
  <si>
    <t>Kentucky</t>
  </si>
  <si>
    <t>Louisiana</t>
  </si>
  <si>
    <t>Maryland</t>
  </si>
  <si>
    <t>South Carolina</t>
  </si>
  <si>
    <t>Tennessee</t>
  </si>
  <si>
    <t>Virginia</t>
  </si>
  <si>
    <t>Table 52</t>
  </si>
  <si>
    <t>Table 53</t>
  </si>
  <si>
    <t>Table 54</t>
  </si>
  <si>
    <t>Auburn University</t>
  </si>
  <si>
    <t>A change of more than a 10% change up or down will trigger a red warning.</t>
  </si>
  <si>
    <t>e-Learning (more than 50% of course content is electronically delivered)</t>
  </si>
  <si>
    <t>IPEDS ID</t>
  </si>
  <si>
    <t>Cat- egory</t>
  </si>
  <si>
    <t>On-Campus "Traditional" Instruction (significant site attendance required--50% or less of course content is electronically delivered)</t>
  </si>
  <si>
    <t>Off-Campus (in-state or out-of-state sites) "Traditional" Instruction (significant site attendance required--50% or less of course content is electronically delivered)</t>
  </si>
  <si>
    <t>Site-to-Site, 2-Way, Audio/Video (compressed video)</t>
  </si>
  <si>
    <t>Other*</t>
  </si>
  <si>
    <t>Correspondence (no significant site attendance required--less than 50% of the course content is electronically delivered)</t>
  </si>
  <si>
    <t>ID</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</si>
  <si>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</si>
  <si>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</si>
  <si>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</si>
  <si>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</si>
  <si>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</si>
  <si>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</si>
  <si>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</si>
  <si>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</si>
  <si>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</si>
  <si>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</si>
  <si>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</si>
  <si>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</si>
  <si>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</si>
  <si>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</si>
  <si>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</si>
  <si>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</si>
  <si>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</si>
  <si>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</si>
  <si>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</si>
  <si>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</si>
  <si>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</si>
  <si>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</si>
  <si>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</si>
  <si>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</si>
  <si>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</si>
  <si>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</si>
  <si>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</si>
  <si>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</si>
  <si>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</si>
  <si>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</si>
  <si>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</si>
  <si>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</si>
  <si>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</si>
  <si>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</si>
  <si>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</si>
  <si>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</si>
  <si>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Pine Bluff</t>
  </si>
  <si>
    <t>University of Arkansas at Fort Smith</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</si>
  <si>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</si>
  <si>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</si>
  <si>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</si>
  <si>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</si>
  <si>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</si>
  <si>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</si>
  <si>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</si>
  <si>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</si>
  <si>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</si>
  <si>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</si>
  <si>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</si>
  <si>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</si>
  <si>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</si>
  <si>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</si>
  <si>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</si>
  <si>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</si>
  <si>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</si>
  <si>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</si>
  <si>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</si>
  <si>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</si>
  <si>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</si>
  <si>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</si>
  <si>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 xml:space="preserve">Brevard Community College </t>
  </si>
  <si>
    <t xml:space="preserve">Broward Community College </t>
  </si>
  <si>
    <t xml:space="preserve">Central Florida Community College </t>
  </si>
  <si>
    <t xml:space="preserve">Chipola College </t>
  </si>
  <si>
    <t xml:space="preserve">Daytona Beach Community College </t>
  </si>
  <si>
    <t>Florida Community College at Jacksonville</t>
  </si>
  <si>
    <t xml:space="preserve">Florida Keys Community College </t>
  </si>
  <si>
    <t xml:space="preserve">Gulf Coast Community College </t>
  </si>
  <si>
    <t xml:space="preserve">Hillsborough Community College </t>
  </si>
  <si>
    <t xml:space="preserve">Indian River Community College </t>
  </si>
  <si>
    <t xml:space="preserve">Lake City Community College </t>
  </si>
  <si>
    <t xml:space="preserve">Lake-Sumter Community College </t>
  </si>
  <si>
    <t xml:space="preserve">Manatee Community College </t>
  </si>
  <si>
    <t xml:space="preserve">Miami Dade College </t>
  </si>
  <si>
    <t xml:space="preserve">North Florida Community College </t>
  </si>
  <si>
    <t xml:space="preserve">Palm Beach Community College </t>
  </si>
  <si>
    <t xml:space="preserve">Pasco-Hernando Community College </t>
  </si>
  <si>
    <t xml:space="preserve">Pensacola Junior College </t>
  </si>
  <si>
    <t xml:space="preserve">Polk Community College </t>
  </si>
  <si>
    <t xml:space="preserve">St. Johns River Community College </t>
  </si>
  <si>
    <t xml:space="preserve">St. Petersburg College </t>
  </si>
  <si>
    <t xml:space="preserve">Santa Fe Community College </t>
  </si>
  <si>
    <t xml:space="preserve">Seminole Community College </t>
  </si>
  <si>
    <t xml:space="preserve">South Florida Community College </t>
  </si>
  <si>
    <t xml:space="preserve">Tallahassee Community College </t>
  </si>
  <si>
    <t xml:space="preserve">Valencia Community College </t>
  </si>
  <si>
    <t xml:space="preserve">Florida State University </t>
  </si>
  <si>
    <t xml:space="preserve">University of Central Florida </t>
  </si>
  <si>
    <t>University of Florida</t>
  </si>
  <si>
    <t xml:space="preserve">University of South Florida </t>
  </si>
  <si>
    <t xml:space="preserve">Florida Atlantic University </t>
  </si>
  <si>
    <t>Florida International University</t>
  </si>
  <si>
    <t xml:space="preserve">Florida Agricultural &amp; Mechanical University </t>
  </si>
  <si>
    <t>University of North Florida</t>
  </si>
  <si>
    <t>University of West Florida</t>
  </si>
  <si>
    <t>Florida Gulf Coast University</t>
  </si>
  <si>
    <t>New College of Florida</t>
  </si>
  <si>
    <t>Albany Technical College</t>
  </si>
  <si>
    <t>Athens Technical College</t>
  </si>
  <si>
    <t>Atlanta Technical College</t>
  </si>
  <si>
    <t>Augusta Technical College</t>
  </si>
  <si>
    <t>Central Georgia Technical College</t>
  </si>
  <si>
    <t>Chattahoochee Technical College</t>
  </si>
  <si>
    <t>Columbus Technical College</t>
  </si>
  <si>
    <t>Coosa Valley Technical College</t>
  </si>
  <si>
    <t>DeKalb Technical College</t>
  </si>
  <si>
    <t>East Central Technical College</t>
  </si>
  <si>
    <t>Griffin Technical College</t>
  </si>
  <si>
    <t>Gwinnett Technical College</t>
  </si>
  <si>
    <t>Heart of Georgia Technical College</t>
  </si>
  <si>
    <t>Lanier Technical College</t>
  </si>
  <si>
    <t>Middle Georgia Technical College</t>
  </si>
  <si>
    <t>Moultrie Technical College</t>
  </si>
  <si>
    <t>North Georgia Technical College</t>
  </si>
  <si>
    <t>North Metro Technical College</t>
  </si>
  <si>
    <t>Northwestern Technical College</t>
  </si>
  <si>
    <t>Ogeechee Technical College</t>
  </si>
  <si>
    <t>Okefenokee Technical College</t>
  </si>
  <si>
    <t>Savannah Technical College</t>
  </si>
  <si>
    <t>South Georgia Technical College</t>
  </si>
  <si>
    <t>Southwest Georgia Technical College</t>
  </si>
  <si>
    <t>Valdosta Technical College</t>
  </si>
  <si>
    <t>West Central Technical College</t>
  </si>
  <si>
    <t>West Georgia Technical College</t>
  </si>
  <si>
    <t>Altamaha Technical College</t>
  </si>
  <si>
    <t>Appalachian Technical College</t>
  </si>
  <si>
    <t>Flint River Technical College</t>
  </si>
  <si>
    <t>Sandersville Technical College</t>
  </si>
  <si>
    <t>Southeastern Technical College</t>
  </si>
  <si>
    <t>Swainsboro Technical College</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</si>
  <si>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</si>
  <si>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</si>
  <si>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</si>
  <si>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</si>
  <si>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</si>
  <si>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</si>
  <si>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</si>
  <si>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</si>
  <si>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</si>
  <si>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</si>
  <si>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</si>
  <si>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</si>
  <si>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Fort Valley State University</t>
  </si>
  <si>
    <t>Georgia Southwestern State University</t>
  </si>
  <si>
    <t>North Georgia College and State University</t>
  </si>
  <si>
    <t>Savannah State University</t>
  </si>
  <si>
    <t>Clayton State University</t>
  </si>
  <si>
    <t>Georgia Gwinnett College</t>
  </si>
  <si>
    <t xml:space="preserve">Macon State College </t>
  </si>
  <si>
    <t xml:space="preserve">Dalton State College </t>
  </si>
  <si>
    <t xml:space="preserve">Georgia Perimeter College </t>
  </si>
  <si>
    <t xml:space="preserve">Abraham Baldwin Agricultural College </t>
  </si>
  <si>
    <t xml:space="preserve">Darton College </t>
  </si>
  <si>
    <t xml:space="preserve">Gainesville State College </t>
  </si>
  <si>
    <t xml:space="preserve">Gordon College </t>
  </si>
  <si>
    <t xml:space="preserve">Middle Georgia College </t>
  </si>
  <si>
    <t>Atlanta Metropolitan College</t>
  </si>
  <si>
    <t xml:space="preserve">Bainbridge College </t>
  </si>
  <si>
    <t xml:space="preserve">College of Coastal Georgia </t>
  </si>
  <si>
    <t>East Georgia College</t>
  </si>
  <si>
    <t xml:space="preserve">South Georgia College </t>
  </si>
  <si>
    <t xml:space="preserve">Waycross College </t>
  </si>
  <si>
    <t xml:space="preserve">Georgia Highlands College </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</si>
  <si>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</si>
  <si>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</si>
  <si>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</si>
  <si>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</si>
  <si>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</si>
  <si>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</si>
  <si>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</si>
  <si>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</si>
  <si>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</si>
  <si>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</si>
  <si>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</si>
  <si>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</si>
  <si>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</si>
  <si>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</si>
  <si>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Madisonville Community College</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</si>
  <si>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</si>
  <si>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</si>
  <si>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</si>
  <si>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</si>
  <si>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</si>
  <si>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 xml:space="preserve">Hopkinsville Community College </t>
  </si>
  <si>
    <t xml:space="preserve">Maysville Community and Technical College </t>
  </si>
  <si>
    <t>Gateway Community and Technical College</t>
  </si>
  <si>
    <t>Bowling Green Technical College</t>
  </si>
  <si>
    <t>University of Maryland College Park</t>
  </si>
  <si>
    <t>University of Maryland, Baltimore County</t>
  </si>
  <si>
    <t xml:space="preserve">Towson University </t>
  </si>
  <si>
    <t xml:space="preserve">Bowie State University </t>
  </si>
  <si>
    <t>Coppin State University</t>
  </si>
  <si>
    <t xml:space="preserve">Frostburg State University </t>
  </si>
  <si>
    <t>Morgan State University</t>
  </si>
  <si>
    <t xml:space="preserve">Salisbury University </t>
  </si>
  <si>
    <t>University of Baltimore</t>
  </si>
  <si>
    <t xml:space="preserve">University of Maryland Eastern Shore </t>
  </si>
  <si>
    <t>Saint Mary's College of Maryland</t>
  </si>
  <si>
    <t xml:space="preserve">Anne Arundel Community College </t>
  </si>
  <si>
    <t>Community College of Baltimore County (all campuses)</t>
  </si>
  <si>
    <t>Montgomery College (all campuses)</t>
  </si>
  <si>
    <t xml:space="preserve">Prince George's Community College </t>
  </si>
  <si>
    <t>Allegany College of Maryland</t>
  </si>
  <si>
    <t>Baltimore City Community College</t>
  </si>
  <si>
    <t>College of Southern Maryland</t>
  </si>
  <si>
    <t xml:space="preserve">Frederick Community College </t>
  </si>
  <si>
    <t xml:space="preserve">Hagerstown Community College </t>
  </si>
  <si>
    <t xml:space="preserve">Harford Community College </t>
  </si>
  <si>
    <t xml:space="preserve">Howard Community College </t>
  </si>
  <si>
    <t>Carroll Community College</t>
  </si>
  <si>
    <t xml:space="preserve">Cecil Community College </t>
  </si>
  <si>
    <t xml:space="preserve">Chesapeake College </t>
  </si>
  <si>
    <t xml:space="preserve">Garrett College </t>
  </si>
  <si>
    <t xml:space="preserve">Wor-Wic Community College </t>
  </si>
  <si>
    <t>University of Maryland University College</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</si>
  <si>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</si>
  <si>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</si>
  <si>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</si>
  <si>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</si>
  <si>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</si>
  <si>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</si>
  <si>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</si>
  <si>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</si>
  <si>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</si>
  <si>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</si>
  <si>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</si>
  <si>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</si>
  <si>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</si>
  <si>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</si>
  <si>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</si>
  <si>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</si>
  <si>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</si>
  <si>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</si>
  <si>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</si>
  <si>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</si>
  <si>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</si>
  <si>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</si>
  <si>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</si>
  <si>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</si>
  <si>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</si>
  <si>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</si>
  <si>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</si>
  <si>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</si>
  <si>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</si>
  <si>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</si>
  <si>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</si>
  <si>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</si>
  <si>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</si>
  <si>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</si>
  <si>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</si>
  <si>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</si>
  <si>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</si>
  <si>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</si>
  <si>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</si>
  <si>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</si>
  <si>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</si>
  <si>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</si>
  <si>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</si>
  <si>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</si>
  <si>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</si>
  <si>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</si>
  <si>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</si>
  <si>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</si>
  <si>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</si>
  <si>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</si>
  <si>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</si>
  <si>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</si>
  <si>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</si>
  <si>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</si>
  <si>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</si>
  <si>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</si>
  <si>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</si>
  <si>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</si>
  <si>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</si>
  <si>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</si>
  <si>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</si>
  <si>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</si>
  <si>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</si>
  <si>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</si>
  <si>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</si>
  <si>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</si>
  <si>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</si>
  <si>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</si>
  <si>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</si>
  <si>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</si>
  <si>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</si>
  <si>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</si>
  <si>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Technical Community College</t>
  </si>
  <si>
    <t xml:space="preserve">North Carolina State University </t>
  </si>
  <si>
    <t xml:space="preserve">University of North Carolina at Chapel Hill </t>
  </si>
  <si>
    <t>University of North Carolina at Charlotte</t>
  </si>
  <si>
    <t>University of North Carolina at Greensboro</t>
  </si>
  <si>
    <t xml:space="preserve">Appalachian State University </t>
  </si>
  <si>
    <t xml:space="preserve">East Carolina University </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</si>
  <si>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</si>
  <si>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</si>
  <si>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</si>
  <si>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</si>
  <si>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</si>
  <si>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</si>
  <si>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</si>
  <si>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</si>
  <si>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</si>
  <si>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</si>
  <si>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</si>
  <si>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</si>
  <si>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</si>
  <si>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</si>
  <si>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</si>
  <si>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</si>
  <si>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</si>
  <si>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</si>
  <si>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</si>
  <si>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</si>
  <si>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</si>
  <si>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</si>
  <si>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City Community College </t>
  </si>
  <si>
    <t xml:space="preserve">Tulsa Community College </t>
  </si>
  <si>
    <t xml:space="preserve">Northern Oklahoma College </t>
  </si>
  <si>
    <t xml:space="preserve">Oklahoma State University Technical Branch-Okmulgee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</si>
  <si>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</si>
  <si>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</si>
  <si>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</si>
  <si>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</si>
  <si>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</si>
  <si>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</si>
  <si>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</si>
  <si>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</si>
  <si>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</si>
  <si>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</si>
  <si>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University of Tennessee, Knoxville</t>
  </si>
  <si>
    <t>University of Memphis</t>
  </si>
  <si>
    <t xml:space="preserve">East Tennessee State University </t>
  </si>
  <si>
    <t xml:space="preserve">Middle Tennessee State University </t>
  </si>
  <si>
    <t xml:space="preserve">Tennessee State University </t>
  </si>
  <si>
    <t>University of Tennessee at Chattanooga</t>
  </si>
  <si>
    <t xml:space="preserve">Austin Peay State University </t>
  </si>
  <si>
    <t xml:space="preserve">Tennessee Technological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</si>
  <si>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</si>
  <si>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</si>
  <si>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</si>
  <si>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</si>
  <si>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</si>
  <si>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</si>
  <si>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</si>
  <si>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</si>
  <si>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</si>
  <si>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</si>
  <si>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</si>
  <si>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</si>
  <si>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</si>
  <si>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</si>
  <si>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</si>
  <si>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</si>
  <si>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</si>
  <si>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</si>
  <si>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</si>
  <si>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</si>
  <si>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</si>
  <si>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</si>
  <si>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</si>
  <si>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</si>
  <si>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</si>
  <si>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</si>
  <si>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</si>
  <si>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</si>
  <si>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</si>
  <si>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</si>
  <si>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</si>
  <si>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</si>
  <si>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</si>
  <si>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</si>
  <si>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</si>
  <si>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</si>
  <si>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</si>
  <si>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</si>
  <si>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</si>
  <si>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</si>
  <si>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</si>
  <si>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</si>
  <si>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University of Tennessee Health Science Center</t>
  </si>
  <si>
    <t xml:space="preserve">Texas A &amp; M University </t>
  </si>
  <si>
    <t xml:space="preserve">Texas Tech University </t>
  </si>
  <si>
    <t>University of Houston</t>
  </si>
  <si>
    <t>University of North Texas</t>
  </si>
  <si>
    <t>University of Texas at Austin</t>
  </si>
  <si>
    <t>University of Texas at Dallas</t>
  </si>
  <si>
    <t>Texas Woman's University</t>
  </si>
  <si>
    <t>University of Texas at Arlington</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</si>
  <si>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</si>
  <si>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</si>
  <si>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</si>
  <si>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</si>
  <si>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</si>
  <si>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</si>
  <si>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</si>
  <si>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</si>
  <si>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University - Commerce</t>
  </si>
  <si>
    <t xml:space="preserve">Texas A &amp; M University-Corpus Christi </t>
  </si>
  <si>
    <t>Texas A &amp; M University-Kingsville</t>
  </si>
  <si>
    <t xml:space="preserve">Texas Southern University </t>
  </si>
  <si>
    <t xml:space="preserve">Texas State University - San Marcos </t>
  </si>
  <si>
    <t xml:space="preserve">University of Houston-Clear Lake </t>
  </si>
  <si>
    <t>University of Texas at El Paso</t>
  </si>
  <si>
    <t>University of Texas at San Antonio</t>
  </si>
  <si>
    <t>University of Texas at Tyler</t>
  </si>
  <si>
    <t>University of Texas-Pan American</t>
  </si>
  <si>
    <t>West Texas A &amp; M University</t>
  </si>
  <si>
    <t>Texas A &amp; M -Texarkana</t>
  </si>
  <si>
    <t>Texas A&amp;M International University</t>
  </si>
  <si>
    <t>University of Texas at Brownsville</t>
  </si>
  <si>
    <t>University of Texas of the Permian Basin</t>
  </si>
  <si>
    <t>Sul Ross State University-Rio Grande College</t>
  </si>
  <si>
    <t>228501B</t>
  </si>
  <si>
    <t>University of Houston-Downtown</t>
  </si>
  <si>
    <t>University of Houston-Victoria</t>
  </si>
  <si>
    <t>Texas A &amp; M University at Galveston</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</si>
  <si>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</si>
  <si>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</si>
  <si>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</si>
  <si>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</si>
  <si>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</si>
  <si>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</si>
  <si>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</si>
  <si>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</si>
  <si>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</si>
  <si>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</si>
  <si>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</si>
  <si>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 xml:space="preserve">Navarro College </t>
  </si>
  <si>
    <t>North Harris Montgomery Community College District</t>
  </si>
  <si>
    <t>North Lake College (DCCCD)</t>
  </si>
  <si>
    <t>Northwest Vista College (ACCD)</t>
  </si>
  <si>
    <t>Palo Alto College (ACCD)</t>
  </si>
  <si>
    <t>Richland College (DCCCD)</t>
  </si>
  <si>
    <t>San Antonio College (ACCD)</t>
  </si>
  <si>
    <t>San Jacinto College</t>
  </si>
  <si>
    <t xml:space="preserve">South Plains College </t>
  </si>
  <si>
    <t>South Texas College</t>
  </si>
  <si>
    <t>St. Philip's College (ACCD)</t>
  </si>
  <si>
    <t>Tarrant County College</t>
  </si>
  <si>
    <t xml:space="preserve">Texas Southmost College </t>
  </si>
  <si>
    <t xml:space="preserve">Tyler Junior College </t>
  </si>
  <si>
    <t xml:space="preserve">Alvin Community College </t>
  </si>
  <si>
    <t xml:space="preserve">Angelina College </t>
  </si>
  <si>
    <t xml:space="preserve">Brazosport College </t>
  </si>
  <si>
    <t>Cedar Valley College (DCCCD)</t>
  </si>
  <si>
    <t>Coastal Bend College</t>
  </si>
  <si>
    <t>College of the Mainland</t>
  </si>
  <si>
    <t xml:space="preserve">Grayson County College </t>
  </si>
  <si>
    <t>Howard College (HCJCD)</t>
  </si>
  <si>
    <t xml:space="preserve">Kilgore College </t>
  </si>
  <si>
    <t>Lamar Institute of Technology</t>
  </si>
  <si>
    <t xml:space="preserve">Lee College </t>
  </si>
  <si>
    <t xml:space="preserve">McLennan Community College </t>
  </si>
  <si>
    <t xml:space="preserve">Midland College </t>
  </si>
  <si>
    <t>Mountain View College (DCCCD)</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</si>
  <si>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</si>
  <si>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</si>
  <si>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</si>
  <si>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</si>
  <si>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</si>
  <si>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</si>
  <si>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</si>
  <si>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</si>
  <si>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</si>
  <si>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</si>
  <si>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</si>
  <si>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</si>
  <si>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</si>
  <si>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Cisco Junior College </t>
  </si>
  <si>
    <t xml:space="preserve">Clarendon College </t>
  </si>
  <si>
    <t xml:space="preserve">Frank Phillips College </t>
  </si>
  <si>
    <t xml:space="preserve">Galveston College </t>
  </si>
  <si>
    <t>Hill College</t>
  </si>
  <si>
    <t>Lamar State College-Orange</t>
  </si>
  <si>
    <t>Lamar State College-Port Arthur</t>
  </si>
  <si>
    <t>Northeast Lakeview College (ACCD)</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</si>
  <si>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</si>
  <si>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</si>
  <si>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</si>
  <si>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</si>
  <si>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</si>
  <si>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</si>
  <si>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</si>
  <si>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West Virginia University</t>
  </si>
  <si>
    <t xml:space="preserve">Marshall University </t>
  </si>
  <si>
    <t xml:space="preserve">Bluefield State College </t>
  </si>
  <si>
    <t xml:space="preserve">Concord University </t>
  </si>
  <si>
    <t>Fairmont State University</t>
  </si>
  <si>
    <t xml:space="preserve">Glenville State College </t>
  </si>
  <si>
    <t xml:space="preserve">Shepherd University </t>
  </si>
  <si>
    <t xml:space="preserve">West Virginia State University </t>
  </si>
  <si>
    <t>West Virginia University Institute of Technology</t>
  </si>
  <si>
    <t>West Virginia University at Parkersburg</t>
  </si>
  <si>
    <t>Pierpont Community &amp; Technical College</t>
  </si>
  <si>
    <t>Blue Ridge Community &amp; Technical College</t>
  </si>
  <si>
    <t>Community &amp; Technical College at WVU Tech</t>
  </si>
  <si>
    <t>Eastern West Virginia Community &amp; Technical College</t>
  </si>
  <si>
    <t>Marshall Community &amp; Technical College</t>
  </si>
  <si>
    <t>New River Community &amp; Technical College</t>
  </si>
  <si>
    <t>Potomac State College of West Virginia University</t>
  </si>
  <si>
    <t xml:space="preserve">Southern West Virginia Community &amp; Technical College </t>
  </si>
  <si>
    <t>West Virginia Northern Community College</t>
  </si>
  <si>
    <t>WV State Community &amp; Technical College</t>
  </si>
  <si>
    <t>Percent of Undergraduate Instructional Activity in Traditional Classroom Instruction by Type of Institution, 2008-09</t>
  </si>
  <si>
    <t>Percent of Undergraduate Instructional Activity in e-Learning by Type of Institution, 2008-09</t>
  </si>
  <si>
    <t>by Type of Institution, 2008-09</t>
  </si>
  <si>
    <t>Public Four-Year Institutions, 2008-09</t>
  </si>
  <si>
    <t>Public Four-Year 1 Institutions, 2008-09</t>
  </si>
  <si>
    <t>Public Four-Year 2 Institutions, 2008-09</t>
  </si>
  <si>
    <t>Public Four-Year 3 Institutions, 2008-09</t>
  </si>
  <si>
    <t>Public Four-Year 4 Institutions, 2008-09</t>
  </si>
  <si>
    <t>Public Four-Year 5 Institutions, 2008-09</t>
  </si>
  <si>
    <t>Public Four-Year 6 Institutions, 2008-09</t>
  </si>
  <si>
    <t>Public Two-Year, 2008-09</t>
  </si>
  <si>
    <t>Public Two-Year with Bachelor's Institutions, 2008-09</t>
  </si>
  <si>
    <t>Public Two-Year 1 Institutions, 2008-09</t>
  </si>
  <si>
    <t>Public Two-Year 2 Institutions, 2008-09</t>
  </si>
  <si>
    <t>Public Two-Year 3 Institutions, 2008-09</t>
  </si>
  <si>
    <t>Public Technical Institutes or Colleges, 2008-09</t>
  </si>
  <si>
    <t>Public Technical Institutes or Colleges 1, 2008-09</t>
  </si>
  <si>
    <t>Public Technical Institutes or Colleges 2, 2008-09</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</si>
  <si>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</si>
  <si>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</si>
  <si>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</si>
  <si>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</si>
  <si>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</si>
  <si>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</si>
  <si>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</si>
  <si>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</si>
  <si>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</si>
  <si>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</si>
  <si>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</si>
  <si>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</si>
  <si>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</si>
  <si>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</si>
  <si>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 xml:space="preserve">Delgado Community College </t>
  </si>
  <si>
    <t>Baton Rouge Community College</t>
  </si>
  <si>
    <t>Bossier Parish Community College</t>
  </si>
  <si>
    <t>Louisiana State University at Eunice</t>
  </si>
  <si>
    <t>Louisiana Delta Community College</t>
  </si>
  <si>
    <t>Nunez Community College</t>
  </si>
  <si>
    <t>River Parishes Community College</t>
  </si>
  <si>
    <t>South Louisiana Community College</t>
  </si>
  <si>
    <t>Southern University in Shreveport</t>
  </si>
  <si>
    <t>Sowela Technical Community College</t>
  </si>
  <si>
    <t>L.E. Fletcher Technical Community College</t>
  </si>
  <si>
    <t>Louisiana Technical College- Alexandria Campus</t>
  </si>
  <si>
    <t>Louisiana Technical College-Acadian Campus</t>
  </si>
  <si>
    <t>Louisiana Technical College-All Campuses</t>
  </si>
  <si>
    <t>Louisiana Technical College-Ascension Campus</t>
  </si>
  <si>
    <t>Louisiana Technical College-Avoyelles Campus</t>
  </si>
  <si>
    <t>Louisiana Technical College-Bastrop Campus</t>
  </si>
  <si>
    <t>Louisiana Technical College-Baton Rouge Campus</t>
  </si>
  <si>
    <t>Louisiana Technical College-Charles B. Coreil Campus</t>
  </si>
  <si>
    <t>Louisiana Technical College-Delta/Ouachita Campus</t>
  </si>
  <si>
    <t>Louisiana Technical College-Evangeline Campus</t>
  </si>
  <si>
    <t>Louisiana Technical College-Florida Parishes Campus</t>
  </si>
  <si>
    <t>Louisiana Technical College-Folkes Campus</t>
  </si>
  <si>
    <t>Louisiana Technical College-Gulf Area Campus</t>
  </si>
  <si>
    <t>Louisiana Technical College-Hammond Area Campus</t>
  </si>
  <si>
    <t>Louisiana Technical College-Huey P. Long Campus</t>
  </si>
  <si>
    <t>Louisiana Technical College-Jefferson Campus</t>
  </si>
  <si>
    <t>Louisiana Technical College-Jumonville Memorial Campus</t>
  </si>
  <si>
    <t>Louisiana Technical College-Lafayette Campus</t>
  </si>
  <si>
    <t>Louisiana Technical College-Lafourche Campus</t>
  </si>
  <si>
    <t>Louisiana Technical College-Lamar Salter Campus</t>
  </si>
  <si>
    <t>Louisiana Technical College-Mansfield Campus</t>
  </si>
  <si>
    <t>Louisiana Technical College-Morgan Smith Campus</t>
  </si>
  <si>
    <t>Louisiana Technical College-Nachitoches Campus</t>
  </si>
  <si>
    <t>Louisiana Technical College-North Central Campus</t>
  </si>
  <si>
    <t>Louisiana Technical College-Northeast Louisiana Campus</t>
  </si>
  <si>
    <t>Louisiana Technical College-Northwest Louisiana Campus</t>
  </si>
  <si>
    <t>Louisiana Technical College-Oakdale Campus</t>
  </si>
  <si>
    <t>Louisiana Technical College-River Parishes Campus</t>
  </si>
  <si>
    <t>Louisiana Technical College-Ruston Campus</t>
  </si>
  <si>
    <t>Louisiana Technical College-Sabine Valley Campus</t>
  </si>
  <si>
    <t>Louisiana Technical College-Shelby M. Jackson Campus</t>
  </si>
  <si>
    <t>Louisiana Technical College-Shreveport/Bossier Campus</t>
  </si>
  <si>
    <t>Louisiana Technical College-Sidney N. Collier Campus</t>
  </si>
  <si>
    <t>Louisiana Technical College-Slidell Campus</t>
  </si>
  <si>
    <t>Louisiana Technical College-Sullivan Campus</t>
  </si>
  <si>
    <t>Louisiana Technical College-T.H. Harris Campus</t>
  </si>
  <si>
    <t>Louisiana Technical College-Tallulah Campus</t>
  </si>
  <si>
    <t>Louisiana Technical College-Teche Area Campus</t>
  </si>
  <si>
    <t>Louisiana Technical College-West Jefferson Campus</t>
  </si>
  <si>
    <t>Louisiana Technical College-Westside Campus</t>
  </si>
  <si>
    <t>Louisiana Technical College-Young Memorial Campus</t>
  </si>
  <si>
    <t>Northwest Florida State College</t>
  </si>
  <si>
    <t xml:space="preserve">Edison State College </t>
  </si>
  <si>
    <t>North Carolina A&amp;T State University</t>
  </si>
  <si>
    <t>El Centro College  (DCCCD)</t>
  </si>
  <si>
    <t>West Liberty University</t>
  </si>
  <si>
    <t>2008-09</t>
  </si>
  <si>
    <t>University of Delaware</t>
  </si>
  <si>
    <t>Delaware State University</t>
  </si>
  <si>
    <t>Delaware Technical and Community College--Owens</t>
  </si>
  <si>
    <t>Delaware Technical and Community College--Stanton-Wilmington</t>
  </si>
  <si>
    <t>Delaware Technical and Community College--Terry</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</si>
  <si>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</si>
  <si>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</si>
  <si>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</si>
  <si>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</si>
  <si>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</si>
  <si>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</si>
  <si>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</si>
  <si>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</si>
  <si>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</si>
  <si>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</si>
  <si>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</si>
  <si>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</si>
  <si>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</si>
  <si>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</si>
  <si>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</si>
  <si>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</si>
  <si>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</si>
  <si>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</si>
  <si>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</si>
  <si>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</si>
  <si>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</si>
  <si>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Spartanburg Community College </t>
  </si>
  <si>
    <t xml:space="preserve">Tri-County Technical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</si>
  <si>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</si>
  <si>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</si>
  <si>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</si>
  <si>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</si>
  <si>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</si>
  <si>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</si>
  <si>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</si>
  <si>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</si>
  <si>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</si>
  <si>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</si>
  <si>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Not Reported</t>
  </si>
  <si>
    <t>???</t>
  </si>
  <si>
    <t>Mississippi State University</t>
  </si>
  <si>
    <t>University of Southern Mississippi</t>
  </si>
  <si>
    <t xml:space="preserve">Jackson State University </t>
  </si>
  <si>
    <t>University of Mississippi</t>
  </si>
  <si>
    <t>Alcorn State University</t>
  </si>
  <si>
    <t>Delta State University</t>
  </si>
  <si>
    <t>Mississippi University for Women</t>
  </si>
  <si>
    <t>Mississippi Valley State University</t>
  </si>
  <si>
    <r>
      <t>Mississippi</t>
    </r>
    <r>
      <rPr>
        <vertAlign val="superscript"/>
        <sz val="10"/>
        <rFont val="Arial"/>
        <family val="2"/>
      </rPr>
      <t>1</t>
    </r>
  </si>
  <si>
    <t>last year</t>
  </si>
  <si>
    <t>December 2009</t>
  </si>
  <si>
    <t>pivot addresses</t>
  </si>
  <si>
    <r>
      <t xml:space="preserve">2007-08 Total Under- graduate SCH 
</t>
    </r>
    <r>
      <rPr>
        <i/>
        <sz val="10"/>
        <rFont val="Arial"/>
        <family val="2"/>
      </rPr>
      <t>(a sum of columns --should match totals from Part 4)</t>
    </r>
  </si>
  <si>
    <r>
      <t xml:space="preserve">2008-09 Total Under- graduate SCH 
</t>
    </r>
    <r>
      <rPr>
        <i/>
        <sz val="10"/>
        <color indexed="12"/>
        <rFont val="Arial"/>
        <family val="2"/>
      </rPr>
      <t>(a sum of columns --should match totals from Part 4)</t>
    </r>
  </si>
  <si>
    <r>
      <t xml:space="preserve">2007-08 Total Graduate SCH </t>
    </r>
    <r>
      <rPr>
        <i/>
        <sz val="10"/>
        <rFont val="Arial"/>
        <family val="2"/>
      </rPr>
      <t>(a sum of columns --should match totals from Part 3)</t>
    </r>
  </si>
  <si>
    <r>
      <t>2008-09 Total Graduate SCH</t>
    </r>
    <r>
      <rPr>
        <b/>
        <i/>
        <sz val="10"/>
        <color indexed="12"/>
        <rFont val="Arial"/>
        <family val="2"/>
      </rPr>
      <t xml:space="preserve"> </t>
    </r>
    <r>
      <rPr>
        <i/>
        <sz val="10"/>
        <color indexed="12"/>
        <rFont val="Arial"/>
        <family val="2"/>
      </rPr>
      <t>(a sum of columns --should match totals from Part 3)</t>
    </r>
  </si>
  <si>
    <r>
      <t>1</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</si>
  <si>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r>
      <t>1</t>
    </r>
    <r>
      <rPr>
        <sz val="8"/>
        <rFont val="Arial"/>
        <family val="2"/>
      </rPr>
      <t xml:space="preserve"> The university system in Florida uses an 80 percent rule to define e-learning so their figures here are likely lower than they would be if they used the 50 percent rule.</t>
    </r>
  </si>
  <si>
    <r>
      <t>2</t>
    </r>
    <r>
      <rPr>
        <sz val="8"/>
        <rFont val="Arial"/>
        <family val="2"/>
      </rPr>
      <t>The university system in Florida uses an 80 percent rule to define e-learning so their figures here are likely lower than they would be if they used the 50 percent rule.</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</si>
  <si>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</si>
  <si>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r>
      <t>Mississippi</t>
    </r>
    <r>
      <rPr>
        <vertAlign val="superscript"/>
        <sz val="10"/>
        <rFont val="Arial"/>
        <family val="2"/>
      </rPr>
      <t>2</t>
    </r>
  </si>
</sst>
</file>

<file path=xl/styles.xml><?xml version="1.0" encoding="utf-8"?>
<styleSheet xmlns="http://schemas.openxmlformats.org/spreadsheetml/2006/main">
  <numFmts count="10">
    <numFmt numFmtId="43" formatCode="_(* #,##0.00_);_(* \(#,##0.00\);_(* &quot;-&quot;??_);_(@_)"/>
    <numFmt numFmtId="164" formatCode="_(* #,##0.0_);_(* \(#,##0.0\);_(* &quot;-&quot;??_);_(@_)"/>
    <numFmt numFmtId="165" formatCode="0.0%"/>
    <numFmt numFmtId="166" formatCode="0.0"/>
    <numFmt numFmtId="167" formatCode="_(* #,##0_);_(* \(#,##0\);_(* &quot;-&quot;??_);_(@_)"/>
    <numFmt numFmtId="168" formatCode="0_)"/>
    <numFmt numFmtId="169" formatCode="0.000"/>
    <numFmt numFmtId="170" formatCode="#,##0.0"/>
    <numFmt numFmtId="171" formatCode="General_)"/>
    <numFmt numFmtId="172" formatCode="0.000%"/>
  </numFmts>
  <fonts count="55">
    <font>
      <sz val="10"/>
      <name val="Arial"/>
    </font>
    <font>
      <sz val="10"/>
      <name val="Arial"/>
      <family val="2"/>
    </font>
    <font>
      <sz val="8"/>
      <name val="Arial"/>
      <family val="2"/>
    </font>
    <font>
      <sz val="8"/>
      <color indexed="81"/>
      <name val="Tahoma"/>
      <family val="2"/>
    </font>
    <font>
      <b/>
      <sz val="8"/>
      <color indexed="81"/>
      <name val="Tahoma"/>
      <family val="2"/>
    </font>
    <font>
      <sz val="10"/>
      <name val="Arial"/>
      <family val="2"/>
    </font>
    <font>
      <b/>
      <sz val="14"/>
      <name val="Arial"/>
      <family val="2"/>
    </font>
    <font>
      <sz val="14"/>
      <name val="Arial"/>
      <family val="2"/>
    </font>
    <font>
      <b/>
      <sz val="12"/>
      <color indexed="8"/>
      <name val="Arial"/>
      <family val="2"/>
    </font>
    <font>
      <b/>
      <sz val="10"/>
      <color indexed="8"/>
      <name val="Arial"/>
      <family val="2"/>
    </font>
    <font>
      <sz val="12"/>
      <name val="AGaramond"/>
      <family val="1"/>
    </font>
    <font>
      <b/>
      <sz val="12"/>
      <name val="Arial"/>
      <family val="2"/>
    </font>
    <font>
      <b/>
      <sz val="10"/>
      <name val="Arial"/>
      <family val="2"/>
    </font>
    <font>
      <b/>
      <sz val="10"/>
      <name val="Arial"/>
      <family val="2"/>
    </font>
    <font>
      <sz val="8"/>
      <name val="Arial"/>
      <family val="2"/>
    </font>
    <font>
      <b/>
      <sz val="9"/>
      <name val="Arial"/>
      <family val="2"/>
    </font>
    <font>
      <b/>
      <vertAlign val="superscript"/>
      <sz val="9"/>
      <name val="Arial"/>
      <family val="2"/>
    </font>
    <font>
      <vertAlign val="superscript"/>
      <sz val="10"/>
      <name val="Arial"/>
      <family val="2"/>
    </font>
    <font>
      <vertAlign val="superscript"/>
      <sz val="8"/>
      <name val="Arial"/>
      <family val="2"/>
    </font>
    <font>
      <sz val="10"/>
      <color indexed="53"/>
      <name val="Arial"/>
      <family val="2"/>
    </font>
    <font>
      <sz val="10"/>
      <color indexed="17"/>
      <name val="Arial"/>
      <family val="2"/>
    </font>
    <font>
      <sz val="10"/>
      <color indexed="14"/>
      <name val="Arial"/>
      <family val="2"/>
    </font>
    <font>
      <sz val="10"/>
      <color indexed="48"/>
      <name val="Arial"/>
      <family val="2"/>
    </font>
    <font>
      <sz val="10"/>
      <color indexed="61"/>
      <name val="Arial"/>
      <family val="2"/>
    </font>
    <font>
      <sz val="10"/>
      <color indexed="23"/>
      <name val="Arial"/>
      <family val="2"/>
    </font>
    <font>
      <sz val="10"/>
      <color indexed="19"/>
      <name val="Arial"/>
      <family val="2"/>
    </font>
    <font>
      <b/>
      <sz val="10"/>
      <color indexed="81"/>
      <name val="Tahoma"/>
      <family val="2"/>
    </font>
    <font>
      <sz val="10"/>
      <color indexed="81"/>
      <name val="Tahoma"/>
      <family val="2"/>
    </font>
    <font>
      <sz val="10"/>
      <color indexed="10"/>
      <name val="Arial"/>
      <family val="2"/>
    </font>
    <font>
      <sz val="10"/>
      <color indexed="10"/>
      <name val="Arial"/>
      <family val="2"/>
    </font>
    <font>
      <sz val="9"/>
      <name val="Arial"/>
      <family val="2"/>
    </font>
    <font>
      <sz val="8"/>
      <color indexed="10"/>
      <name val="Arial"/>
      <family val="2"/>
    </font>
    <font>
      <b/>
      <sz val="10"/>
      <color indexed="12"/>
      <name val="Arial"/>
      <family val="2"/>
    </font>
    <font>
      <b/>
      <sz val="10"/>
      <color indexed="10"/>
      <name val="Arial"/>
      <family val="2"/>
    </font>
    <font>
      <sz val="10"/>
      <name val="Helv"/>
    </font>
    <font>
      <sz val="10"/>
      <name val="MS Sans Serif"/>
      <family val="2"/>
    </font>
    <font>
      <b/>
      <sz val="10"/>
      <color indexed="12"/>
      <name val="Arial"/>
      <family val="2"/>
    </font>
    <font>
      <sz val="10"/>
      <color indexed="12"/>
      <name val="Arial"/>
      <family val="2"/>
    </font>
    <font>
      <b/>
      <i/>
      <sz val="10"/>
      <color indexed="12"/>
      <name val="Arial"/>
      <family val="2"/>
    </font>
    <font>
      <b/>
      <sz val="11"/>
      <color indexed="81"/>
      <name val="Tahoma"/>
      <family val="2"/>
    </font>
    <font>
      <sz val="10"/>
      <color indexed="8"/>
      <name val="Arial"/>
      <family val="2"/>
    </font>
    <font>
      <sz val="8"/>
      <color indexed="8"/>
      <name val="Tahoma"/>
      <family val="2"/>
    </font>
    <font>
      <sz val="10"/>
      <color rgb="FFFF0000"/>
      <name val="Arial"/>
      <family val="2"/>
    </font>
    <font>
      <sz val="10"/>
      <color indexed="8"/>
      <name val="Arial"/>
      <family val="2"/>
    </font>
    <font>
      <sz val="10"/>
      <color indexed="55"/>
      <name val="Arial"/>
      <family val="2"/>
    </font>
    <font>
      <b/>
      <sz val="10"/>
      <color indexed="53"/>
      <name val="Arial"/>
      <family val="2"/>
    </font>
    <font>
      <b/>
      <sz val="10"/>
      <color indexed="61"/>
      <name val="Arial"/>
      <family val="2"/>
    </font>
    <font>
      <b/>
      <sz val="10"/>
      <color indexed="14"/>
      <name val="Arial"/>
      <family val="2"/>
    </font>
    <font>
      <b/>
      <sz val="10"/>
      <color indexed="19"/>
      <name val="Arial"/>
      <family val="2"/>
    </font>
    <font>
      <b/>
      <sz val="10"/>
      <color indexed="17"/>
      <name val="Arial"/>
      <family val="2"/>
    </font>
    <font>
      <b/>
      <sz val="10"/>
      <color indexed="23"/>
      <name val="Arial"/>
      <family val="2"/>
    </font>
    <font>
      <b/>
      <sz val="10"/>
      <color indexed="48"/>
      <name val="Arial"/>
      <family val="2"/>
    </font>
    <font>
      <b/>
      <sz val="9"/>
      <color rgb="FFC00000"/>
      <name val="Arial"/>
      <family val="2"/>
    </font>
    <font>
      <i/>
      <sz val="10"/>
      <name val="Arial"/>
      <family val="2"/>
    </font>
    <font>
      <i/>
      <sz val="10"/>
      <color indexed="12"/>
      <name val="Arial"/>
      <family val="2"/>
    </font>
  </fonts>
  <fills count="2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5"/>
        <bgColor indexed="42"/>
      </patternFill>
    </fill>
    <fill>
      <patternFill patternType="solid">
        <fgColor indexed="45"/>
        <bgColor indexed="42"/>
      </patternFill>
    </fill>
    <fill>
      <patternFill patternType="solid">
        <fgColor indexed="11"/>
        <bgColor indexed="64"/>
      </patternFill>
    </fill>
    <fill>
      <patternFill patternType="solid">
        <fgColor indexed="44"/>
        <bgColor indexed="64"/>
      </patternFill>
    </fill>
    <fill>
      <patternFill patternType="solid">
        <fgColor indexed="44"/>
        <bgColor indexed="42"/>
      </patternFill>
    </fill>
    <fill>
      <patternFill patternType="solid">
        <fgColor indexed="47"/>
        <bgColor indexed="42"/>
      </patternFill>
    </fill>
    <fill>
      <patternFill patternType="solid">
        <fgColor indexed="43"/>
        <bgColor indexed="42"/>
      </patternFill>
    </fill>
    <fill>
      <patternFill patternType="solid">
        <fgColor indexed="42"/>
        <bgColor indexed="42"/>
      </patternFill>
    </fill>
    <fill>
      <patternFill patternType="solid">
        <fgColor indexed="51"/>
        <bgColor indexed="42"/>
      </patternFill>
    </fill>
    <fill>
      <patternFill patternType="solid">
        <fgColor indexed="51"/>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rgb="FF00B050"/>
        <bgColor indexed="64"/>
      </patternFill>
    </fill>
  </fills>
  <borders count="71">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bottom style="thin">
        <color indexed="64"/>
      </bottom>
      <diagonal/>
    </border>
    <border>
      <left style="thin">
        <color indexed="8"/>
      </left>
      <right/>
      <top style="thin">
        <color indexed="8"/>
      </top>
      <bottom/>
      <diagonal/>
    </border>
    <border>
      <left style="thin">
        <color indexed="8"/>
      </left>
      <right/>
      <top/>
      <bottom/>
      <diagonal/>
    </border>
    <border>
      <left/>
      <right/>
      <top style="thin">
        <color indexed="64"/>
      </top>
      <bottom style="thin">
        <color indexed="64"/>
      </bottom>
      <diagonal/>
    </border>
    <border>
      <left/>
      <right/>
      <top style="thin">
        <color indexed="64"/>
      </top>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5"/>
      </left>
      <right/>
      <top style="thin">
        <color indexed="8"/>
      </top>
      <bottom/>
      <diagonal/>
    </border>
    <border>
      <left style="thin">
        <color indexed="8"/>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style="thin">
        <color indexed="8"/>
      </left>
      <right/>
      <top style="thin">
        <color indexed="65"/>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5"/>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5"/>
      </left>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style="thin">
        <color indexed="65"/>
      </top>
      <bottom/>
      <diagonal/>
    </border>
    <border>
      <left style="thin">
        <color indexed="8"/>
      </left>
      <right style="thin">
        <color indexed="64"/>
      </right>
      <top style="thin">
        <color indexed="8"/>
      </top>
      <bottom/>
      <diagonal/>
    </border>
    <border>
      <left style="thin">
        <color indexed="8"/>
      </left>
      <right style="thin">
        <color indexed="64"/>
      </right>
      <top style="thin">
        <color indexed="65"/>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top style="thin">
        <color indexed="64"/>
      </top>
      <bottom/>
      <diagonal/>
    </border>
    <border>
      <left style="thin">
        <color indexed="65"/>
      </left>
      <right/>
      <top style="thin">
        <color indexed="64"/>
      </top>
      <bottom/>
      <diagonal/>
    </border>
    <border>
      <left style="thin">
        <color indexed="64"/>
      </left>
      <right style="thin">
        <color indexed="64"/>
      </right>
      <top style="thin">
        <color indexed="64"/>
      </top>
      <bottom/>
      <diagonal/>
    </border>
    <border>
      <left style="thin">
        <color indexed="65"/>
      </left>
      <right style="thin">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8"/>
      </top>
      <bottom/>
      <diagonal/>
    </border>
    <border>
      <left style="medium">
        <color indexed="64"/>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8"/>
      </top>
      <bottom/>
      <diagonal/>
    </border>
    <border>
      <left style="thin">
        <color indexed="64"/>
      </left>
      <right/>
      <top/>
      <bottom style="thin">
        <color indexed="8"/>
      </bottom>
      <diagonal/>
    </border>
    <border>
      <left style="thin">
        <color indexed="8"/>
      </left>
      <right style="thin">
        <color indexed="64"/>
      </right>
      <top/>
      <bottom style="thin">
        <color indexed="8"/>
      </bottom>
      <diagonal/>
    </border>
  </borders>
  <cellStyleXfs count="19">
    <xf numFmtId="0" fontId="0" fillId="0" borderId="0"/>
    <xf numFmtId="43" fontId="1" fillId="0" borderId="0" applyFont="0" applyFill="0" applyBorder="0" applyAlignment="0" applyProtection="0"/>
    <xf numFmtId="171" fontId="34" fillId="0" borderId="0"/>
    <xf numFmtId="171" fontId="34" fillId="0" borderId="0"/>
    <xf numFmtId="0" fontId="1" fillId="0" borderId="0"/>
    <xf numFmtId="0" fontId="5" fillId="0" borderId="0"/>
    <xf numFmtId="0" fontId="35" fillId="0" borderId="0"/>
    <xf numFmtId="168" fontId="10" fillId="0" borderId="0"/>
    <xf numFmtId="168" fontId="10" fillId="0" borderId="0"/>
    <xf numFmtId="0" fontId="1" fillId="0" borderId="0"/>
    <xf numFmtId="0" fontId="1" fillId="0" borderId="0"/>
    <xf numFmtId="3" fontId="14" fillId="0" borderId="0"/>
    <xf numFmtId="3" fontId="14" fillId="0" borderId="0"/>
    <xf numFmtId="0" fontId="40" fillId="0" borderId="0"/>
    <xf numFmtId="168" fontId="10" fillId="0" borderId="0"/>
    <xf numFmtId="168" fontId="10" fillId="0" borderId="0"/>
    <xf numFmtId="9" fontId="1" fillId="0" borderId="0" applyFont="0" applyFill="0" applyBorder="0" applyAlignment="0" applyProtection="0"/>
    <xf numFmtId="3" fontId="5" fillId="0" borderId="1" applyFont="0"/>
    <xf numFmtId="168" fontId="12" fillId="0" borderId="2" applyNumberFormat="0" applyFont="0" applyBorder="0" applyAlignment="0"/>
  </cellStyleXfs>
  <cellXfs count="739">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7" fillId="0" borderId="0" xfId="0" applyFont="1" applyAlignment="1">
      <alignment horizontal="centerContinuous"/>
    </xf>
    <xf numFmtId="37" fontId="8" fillId="0" borderId="0" xfId="0" applyNumberFormat="1" applyFont="1" applyAlignment="1" applyProtection="1">
      <alignment horizontal="centerContinuous"/>
    </xf>
    <xf numFmtId="0" fontId="5" fillId="0" borderId="0" xfId="0" applyFont="1" applyAlignment="1">
      <alignment horizontal="centerContinuous"/>
    </xf>
    <xf numFmtId="0" fontId="5" fillId="0" borderId="0" xfId="0" applyFont="1"/>
    <xf numFmtId="0" fontId="5" fillId="0" borderId="3" xfId="0" applyFont="1" applyBorder="1"/>
    <xf numFmtId="0" fontId="0" fillId="0" borderId="0" xfId="0" applyAlignment="1">
      <alignment horizontal="centerContinuous"/>
    </xf>
    <xf numFmtId="37" fontId="9" fillId="0" borderId="3" xfId="0" applyNumberFormat="1" applyFont="1" applyBorder="1" applyProtection="1"/>
    <xf numFmtId="37" fontId="9" fillId="0" borderId="6" xfId="0" applyNumberFormat="1" applyFont="1" applyBorder="1" applyProtection="1"/>
    <xf numFmtId="37" fontId="9" fillId="0" borderId="6" xfId="0" applyNumberFormat="1" applyFont="1" applyBorder="1" applyAlignment="1" applyProtection="1">
      <alignment horizontal="center"/>
    </xf>
    <xf numFmtId="167" fontId="5" fillId="0" borderId="0" xfId="1" applyNumberFormat="1" applyFont="1" applyFill="1" applyBorder="1"/>
    <xf numFmtId="37" fontId="6" fillId="0" borderId="0" xfId="0" applyNumberFormat="1" applyFont="1" applyFill="1" applyAlignment="1" applyProtection="1">
      <alignment horizontal="centerContinuous"/>
    </xf>
    <xf numFmtId="0" fontId="7" fillId="0" borderId="0" xfId="0" applyFont="1" applyFill="1" applyAlignment="1">
      <alignment horizontal="centerContinuous"/>
    </xf>
    <xf numFmtId="0" fontId="5" fillId="0" borderId="0" xfId="0" applyFont="1" applyFill="1" applyAlignment="1">
      <alignment horizontal="centerContinuous"/>
    </xf>
    <xf numFmtId="0" fontId="5" fillId="0" borderId="3" xfId="0" applyFont="1" applyFill="1" applyBorder="1"/>
    <xf numFmtId="3" fontId="5" fillId="0" borderId="3" xfId="0" applyNumberFormat="1" applyFont="1" applyFill="1" applyBorder="1"/>
    <xf numFmtId="0" fontId="5" fillId="0" borderId="3" xfId="0" applyFont="1" applyFill="1" applyBorder="1" applyAlignment="1">
      <alignment horizontal="left"/>
    </xf>
    <xf numFmtId="3" fontId="5" fillId="0" borderId="0" xfId="0" applyNumberFormat="1" applyFont="1" applyFill="1" applyBorder="1"/>
    <xf numFmtId="0" fontId="5" fillId="0" borderId="0" xfId="0" applyFont="1" applyFill="1"/>
    <xf numFmtId="164" fontId="5" fillId="0" borderId="0" xfId="1" applyNumberFormat="1" applyFont="1" applyFill="1" applyBorder="1" applyAlignment="1">
      <alignment horizontal="right"/>
    </xf>
    <xf numFmtId="0" fontId="5" fillId="0" borderId="0" xfId="0" applyFont="1" applyFill="1" applyBorder="1"/>
    <xf numFmtId="0" fontId="5" fillId="0" borderId="7" xfId="0" applyFont="1" applyFill="1" applyBorder="1"/>
    <xf numFmtId="37" fontId="11" fillId="0" borderId="0" xfId="0" applyNumberFormat="1" applyFont="1" applyFill="1" applyAlignment="1" applyProtection="1">
      <alignment horizontal="centerContinuous"/>
    </xf>
    <xf numFmtId="0" fontId="5" fillId="0" borderId="0" xfId="0" applyFont="1" applyFill="1" applyBorder="1" applyAlignment="1">
      <alignment horizontal="centerContinuous"/>
    </xf>
    <xf numFmtId="0" fontId="5" fillId="0" borderId="0" xfId="0" applyFont="1" applyFill="1" applyAlignment="1">
      <alignment horizontal="left"/>
    </xf>
    <xf numFmtId="0" fontId="5" fillId="0" borderId="0" xfId="0" applyFont="1" applyFill="1" applyBorder="1" applyAlignment="1">
      <alignment horizontal="left"/>
    </xf>
    <xf numFmtId="0" fontId="7" fillId="0" borderId="0" xfId="0" applyFont="1" applyFill="1" applyBorder="1" applyAlignment="1">
      <alignment horizontal="centerContinuous"/>
    </xf>
    <xf numFmtId="166" fontId="5" fillId="0" borderId="0" xfId="0" applyNumberFormat="1" applyFont="1" applyFill="1"/>
    <xf numFmtId="0" fontId="0" fillId="0" borderId="8" xfId="0" applyBorder="1"/>
    <xf numFmtId="0" fontId="12" fillId="0" borderId="0" xfId="0" applyFont="1"/>
    <xf numFmtId="0" fontId="0" fillId="0" borderId="0" xfId="0" applyBorder="1" applyAlignment="1">
      <alignment horizontal="centerContinuous"/>
    </xf>
    <xf numFmtId="166" fontId="0" fillId="0" borderId="0" xfId="0" applyNumberFormat="1" applyBorder="1"/>
    <xf numFmtId="167" fontId="7" fillId="0" borderId="0" xfId="1" applyNumberFormat="1" applyFont="1" applyFill="1" applyBorder="1" applyAlignment="1">
      <alignment horizontal="left"/>
    </xf>
    <xf numFmtId="167" fontId="7" fillId="0" borderId="0" xfId="1" applyNumberFormat="1" applyFont="1" applyFill="1" applyBorder="1" applyAlignment="1">
      <alignment horizontal="centerContinuous"/>
    </xf>
    <xf numFmtId="167" fontId="5" fillId="0" borderId="0" xfId="1" applyNumberFormat="1" applyFont="1" applyFill="1" applyBorder="1" applyAlignment="1">
      <alignment horizontal="left"/>
    </xf>
    <xf numFmtId="167" fontId="5" fillId="0" borderId="0" xfId="1" applyNumberFormat="1" applyFont="1" applyFill="1" applyBorder="1" applyAlignment="1">
      <alignment horizontal="centerContinuous"/>
    </xf>
    <xf numFmtId="3" fontId="5" fillId="0" borderId="0" xfId="0" applyNumberFormat="1" applyFont="1" applyFill="1"/>
    <xf numFmtId="0" fontId="14" fillId="0" borderId="0" xfId="0" applyFont="1"/>
    <xf numFmtId="0" fontId="2" fillId="0" borderId="0" xfId="0" applyFont="1"/>
    <xf numFmtId="0" fontId="14" fillId="0" borderId="0" xfId="0" applyFont="1" applyFill="1" applyBorder="1"/>
    <xf numFmtId="164" fontId="14" fillId="0" borderId="0" xfId="0" applyNumberFormat="1" applyFont="1" applyFill="1"/>
    <xf numFmtId="0" fontId="14" fillId="0" borderId="0" xfId="0" applyFont="1" applyFill="1"/>
    <xf numFmtId="0" fontId="14" fillId="0" borderId="0" xfId="0" applyFont="1" applyFill="1" applyAlignment="1">
      <alignment horizontal="centerContinuous"/>
    </xf>
    <xf numFmtId="167" fontId="14" fillId="0" borderId="0" xfId="1" applyNumberFormat="1" applyFont="1" applyFill="1" applyBorder="1" applyAlignment="1">
      <alignment horizontal="left"/>
    </xf>
    <xf numFmtId="167" fontId="14" fillId="0" borderId="0" xfId="1" applyNumberFormat="1" applyFont="1" applyFill="1" applyBorder="1"/>
    <xf numFmtId="164" fontId="14" fillId="0" borderId="0" xfId="1" applyNumberFormat="1" applyFont="1" applyFill="1" applyBorder="1" applyAlignment="1">
      <alignment horizontal="right"/>
    </xf>
    <xf numFmtId="164" fontId="14" fillId="0" borderId="0" xfId="1" applyNumberFormat="1" applyFont="1" applyFill="1" applyBorder="1" applyAlignment="1">
      <alignment horizontal="right" indent="1"/>
    </xf>
    <xf numFmtId="166" fontId="14" fillId="0" borderId="0" xfId="0" applyNumberFormat="1" applyFont="1" applyFill="1"/>
    <xf numFmtId="0" fontId="14" fillId="0" borderId="0" xfId="0" applyFont="1" applyFill="1" applyBorder="1" applyAlignment="1">
      <alignment horizontal="left"/>
    </xf>
    <xf numFmtId="0" fontId="14" fillId="0" borderId="0" xfId="0" applyFont="1" applyBorder="1"/>
    <xf numFmtId="166" fontId="14" fillId="0" borderId="0" xfId="0" applyNumberFormat="1" applyFont="1" applyBorder="1"/>
    <xf numFmtId="0" fontId="2" fillId="0" borderId="0" xfId="0" applyFont="1" applyBorder="1"/>
    <xf numFmtId="37" fontId="9" fillId="0" borderId="0" xfId="0" applyNumberFormat="1" applyFont="1" applyAlignment="1" applyProtection="1">
      <alignment horizontal="centerContinuous"/>
    </xf>
    <xf numFmtId="0" fontId="5" fillId="0" borderId="0" xfId="0" applyFont="1" applyBorder="1" applyAlignment="1">
      <alignment horizontal="centerContinuous"/>
    </xf>
    <xf numFmtId="37" fontId="12" fillId="0" borderId="0" xfId="0" applyNumberFormat="1" applyFont="1" applyFill="1" applyAlignment="1" applyProtection="1">
      <alignment horizontal="centerContinuous"/>
    </xf>
    <xf numFmtId="0" fontId="12" fillId="0" borderId="6" xfId="0"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center"/>
    </xf>
    <xf numFmtId="0" fontId="12" fillId="0" borderId="0" xfId="0" applyFont="1" applyBorder="1" applyAlignment="1">
      <alignment horizontal="center"/>
    </xf>
    <xf numFmtId="37" fontId="15" fillId="0" borderId="0" xfId="0" applyNumberFormat="1" applyFont="1" applyFill="1" applyBorder="1" applyProtection="1"/>
    <xf numFmtId="0" fontId="15" fillId="0" borderId="6" xfId="0" applyFont="1" applyFill="1" applyBorder="1" applyAlignment="1">
      <alignment horizontal="centerContinuous"/>
    </xf>
    <xf numFmtId="0" fontId="15" fillId="0" borderId="0" xfId="0" applyFont="1" applyFill="1" applyBorder="1" applyAlignment="1">
      <alignment horizontal="centerContinuous"/>
    </xf>
    <xf numFmtId="167" fontId="15" fillId="0" borderId="0" xfId="1" applyNumberFormat="1" applyFont="1" applyFill="1" applyBorder="1" applyAlignment="1">
      <alignment horizontal="centerContinuous"/>
    </xf>
    <xf numFmtId="0" fontId="15" fillId="0" borderId="0" xfId="0" applyFont="1" applyFill="1"/>
    <xf numFmtId="0" fontId="15" fillId="0" borderId="10" xfId="0" applyFont="1" applyFill="1" applyBorder="1" applyAlignment="1">
      <alignment horizontal="centerContinuous"/>
    </xf>
    <xf numFmtId="0" fontId="15" fillId="0" borderId="6" xfId="0" applyFont="1" applyFill="1" applyBorder="1" applyAlignment="1">
      <alignment horizontal="center" wrapText="1"/>
    </xf>
    <xf numFmtId="0" fontId="15" fillId="0" borderId="11" xfId="0" applyFont="1" applyFill="1" applyBorder="1" applyAlignment="1">
      <alignment horizontal="center" wrapText="1"/>
    </xf>
    <xf numFmtId="0" fontId="15" fillId="0" borderId="12" xfId="0" applyFont="1" applyFill="1" applyBorder="1" applyAlignment="1">
      <alignment horizontal="center" wrapText="1"/>
    </xf>
    <xf numFmtId="0" fontId="15" fillId="0" borderId="9" xfId="0" applyFont="1" applyFill="1" applyBorder="1" applyAlignment="1">
      <alignment horizontal="centerContinuous"/>
    </xf>
    <xf numFmtId="0" fontId="15" fillId="0" borderId="11" xfId="0" applyFont="1" applyFill="1" applyBorder="1" applyAlignment="1">
      <alignment horizontal="centerContinuous"/>
    </xf>
    <xf numFmtId="0" fontId="15" fillId="0" borderId="13" xfId="0" applyFont="1" applyFill="1" applyBorder="1" applyAlignment="1">
      <alignment horizontal="center" wrapText="1"/>
    </xf>
    <xf numFmtId="3" fontId="15" fillId="0" borderId="0" xfId="0" applyNumberFormat="1" applyFont="1" applyFill="1"/>
    <xf numFmtId="166" fontId="5" fillId="0" borderId="0" xfId="1" applyNumberFormat="1" applyFont="1" applyFill="1" applyBorder="1" applyAlignment="1">
      <alignment horizontal="right" indent="1"/>
    </xf>
    <xf numFmtId="166" fontId="5" fillId="0" borderId="0" xfId="1" applyNumberFormat="1" applyFont="1" applyFill="1" applyBorder="1" applyAlignment="1">
      <alignment horizontal="right"/>
    </xf>
    <xf numFmtId="166" fontId="0" fillId="0" borderId="0" xfId="0" applyNumberFormat="1" applyAlignment="1">
      <alignment horizontal="center"/>
    </xf>
    <xf numFmtId="166" fontId="0" fillId="0" borderId="14" xfId="0" applyNumberFormat="1" applyBorder="1" applyAlignment="1">
      <alignment horizontal="center"/>
    </xf>
    <xf numFmtId="166" fontId="0" fillId="0" borderId="3" xfId="0" applyNumberFormat="1" applyBorder="1" applyAlignment="1">
      <alignment horizontal="center"/>
    </xf>
    <xf numFmtId="166" fontId="0" fillId="0" borderId="13" xfId="0" applyNumberFormat="1" applyBorder="1" applyAlignment="1">
      <alignment horizontal="center"/>
    </xf>
    <xf numFmtId="166" fontId="5" fillId="0" borderId="0" xfId="1" applyNumberFormat="1" applyFont="1" applyFill="1" applyBorder="1" applyAlignment="1"/>
    <xf numFmtId="166" fontId="5" fillId="0" borderId="15" xfId="1" applyNumberFormat="1" applyFont="1" applyFill="1" applyBorder="1" applyAlignment="1">
      <alignment horizontal="right"/>
    </xf>
    <xf numFmtId="166" fontId="5" fillId="0" borderId="16" xfId="1" applyNumberFormat="1" applyFont="1" applyFill="1" applyBorder="1" applyAlignment="1">
      <alignment horizontal="right"/>
    </xf>
    <xf numFmtId="0" fontId="18" fillId="0" borderId="0" xfId="0" applyFont="1" applyFill="1" applyBorder="1"/>
    <xf numFmtId="0" fontId="18" fillId="0" borderId="0" xfId="0" applyFont="1" applyFill="1"/>
    <xf numFmtId="166" fontId="5" fillId="0" borderId="0" xfId="0" applyNumberFormat="1" applyFont="1" applyFill="1" applyBorder="1"/>
    <xf numFmtId="49" fontId="14" fillId="0" borderId="0" xfId="0" applyNumberFormat="1" applyFont="1" applyBorder="1" applyAlignment="1">
      <alignment horizontal="right"/>
    </xf>
    <xf numFmtId="166" fontId="5" fillId="0" borderId="0" xfId="16" applyNumberFormat="1" applyFont="1" applyFill="1" applyBorder="1" applyAlignment="1">
      <alignment horizontal="right"/>
    </xf>
    <xf numFmtId="166" fontId="5" fillId="0" borderId="17" xfId="16" applyNumberFormat="1" applyFont="1" applyFill="1" applyBorder="1" applyAlignment="1">
      <alignment horizontal="right"/>
    </xf>
    <xf numFmtId="166" fontId="5" fillId="0" borderId="18" xfId="16" applyNumberFormat="1" applyFont="1" applyFill="1" applyBorder="1" applyAlignment="1">
      <alignment horizontal="right"/>
    </xf>
    <xf numFmtId="166" fontId="5" fillId="0" borderId="3" xfId="16" applyNumberFormat="1" applyFont="1" applyFill="1" applyBorder="1" applyAlignment="1">
      <alignment horizontal="right"/>
    </xf>
    <xf numFmtId="166" fontId="5" fillId="0" borderId="19" xfId="16" applyNumberFormat="1" applyFont="1" applyFill="1" applyBorder="1" applyAlignment="1">
      <alignment horizontal="right"/>
    </xf>
    <xf numFmtId="0" fontId="5" fillId="0" borderId="7" xfId="0" applyFont="1" applyFill="1" applyBorder="1" applyAlignment="1">
      <alignment horizontal="left"/>
    </xf>
    <xf numFmtId="0" fontId="12" fillId="0" borderId="6" xfId="0" applyFont="1" applyBorder="1" applyAlignment="1">
      <alignment horizontal="centerContinuous"/>
    </xf>
    <xf numFmtId="0" fontId="12" fillId="0" borderId="9" xfId="0" applyFont="1" applyBorder="1" applyAlignment="1">
      <alignment horizontal="centerContinuous"/>
    </xf>
    <xf numFmtId="0" fontId="12" fillId="0" borderId="9" xfId="0" applyFont="1" applyBorder="1" applyAlignment="1">
      <alignment horizontal="center" wrapText="1"/>
    </xf>
    <xf numFmtId="166" fontId="0" fillId="0" borderId="14" xfId="0" applyNumberFormat="1" applyBorder="1"/>
    <xf numFmtId="166" fontId="0" fillId="0" borderId="0" xfId="0" applyNumberFormat="1"/>
    <xf numFmtId="166" fontId="0" fillId="0" borderId="0" xfId="0" applyNumberFormat="1" applyBorder="1" applyAlignment="1">
      <alignment horizontal="center"/>
    </xf>
    <xf numFmtId="0" fontId="18" fillId="0" borderId="0" xfId="0" applyFont="1" applyFill="1" applyBorder="1" applyAlignment="1">
      <alignment wrapText="1"/>
    </xf>
    <xf numFmtId="0" fontId="0" fillId="0" borderId="0" xfId="0" applyBorder="1" applyAlignment="1">
      <alignment vertical="top" wrapText="1"/>
    </xf>
    <xf numFmtId="0" fontId="18" fillId="0" borderId="0" xfId="0" applyFont="1" applyFill="1" applyBorder="1" applyAlignment="1">
      <alignment vertical="top" wrapText="1"/>
    </xf>
    <xf numFmtId="0" fontId="12" fillId="2" borderId="0" xfId="0" applyFont="1" applyFill="1"/>
    <xf numFmtId="0" fontId="12" fillId="2" borderId="14" xfId="0" applyFont="1" applyFill="1" applyBorder="1"/>
    <xf numFmtId="0" fontId="12" fillId="2" borderId="0" xfId="0" applyFont="1" applyFill="1" applyAlignment="1">
      <alignment horizontal="center"/>
    </xf>
    <xf numFmtId="0" fontId="12" fillId="2" borderId="14" xfId="0" applyFont="1" applyFill="1" applyBorder="1" applyAlignment="1">
      <alignment horizontal="center"/>
    </xf>
    <xf numFmtId="166" fontId="0" fillId="2" borderId="0" xfId="0" applyNumberFormat="1" applyFill="1"/>
    <xf numFmtId="166" fontId="0" fillId="2" borderId="0" xfId="0" applyNumberFormat="1" applyFill="1" applyBorder="1" applyAlignment="1">
      <alignment horizontal="right"/>
    </xf>
    <xf numFmtId="0" fontId="0" fillId="0" borderId="4" xfId="0" applyFill="1" applyBorder="1"/>
    <xf numFmtId="0" fontId="0" fillId="0" borderId="0" xfId="0" applyFill="1"/>
    <xf numFmtId="0" fontId="0" fillId="0" borderId="20" xfId="0" applyFill="1" applyBorder="1"/>
    <xf numFmtId="0" fontId="0" fillId="0" borderId="8" xfId="0" applyFill="1" applyBorder="1"/>
    <xf numFmtId="0" fontId="0" fillId="0" borderId="2" xfId="0" applyFill="1" applyBorder="1"/>
    <xf numFmtId="0" fontId="0" fillId="0" borderId="5" xfId="0" applyFill="1" applyBorder="1"/>
    <xf numFmtId="167" fontId="0" fillId="0" borderId="0" xfId="1" applyNumberFormat="1" applyFont="1"/>
    <xf numFmtId="167" fontId="0" fillId="0" borderId="5" xfId="0" applyNumberFormat="1" applyFill="1" applyBorder="1"/>
    <xf numFmtId="167" fontId="19" fillId="0" borderId="4" xfId="0" applyNumberFormat="1" applyFont="1" applyFill="1" applyBorder="1"/>
    <xf numFmtId="167" fontId="19" fillId="0" borderId="8" xfId="0" applyNumberFormat="1" applyFont="1" applyFill="1" applyBorder="1"/>
    <xf numFmtId="167" fontId="20" fillId="0" borderId="5" xfId="0" applyNumberFormat="1" applyFont="1" applyFill="1" applyBorder="1"/>
    <xf numFmtId="167" fontId="21" fillId="0" borderId="5" xfId="0" applyNumberFormat="1" applyFont="1" applyFill="1" applyBorder="1"/>
    <xf numFmtId="167" fontId="22" fillId="0" borderId="5" xfId="0" applyNumberFormat="1" applyFont="1" applyFill="1" applyBorder="1"/>
    <xf numFmtId="167" fontId="23" fillId="0" borderId="5" xfId="0" applyNumberFormat="1" applyFont="1" applyFill="1" applyBorder="1"/>
    <xf numFmtId="167" fontId="24" fillId="0" borderId="5" xfId="0" applyNumberFormat="1" applyFont="1" applyFill="1" applyBorder="1"/>
    <xf numFmtId="167" fontId="25" fillId="0" borderId="5" xfId="0" applyNumberFormat="1" applyFont="1" applyFill="1" applyBorder="1"/>
    <xf numFmtId="0" fontId="5" fillId="0" borderId="0" xfId="0" applyFont="1" applyBorder="1"/>
    <xf numFmtId="0" fontId="0" fillId="0" borderId="0" xfId="0" applyFill="1" applyAlignment="1"/>
    <xf numFmtId="1" fontId="5" fillId="0" borderId="0" xfId="0" applyNumberFormat="1" applyFont="1" applyFill="1"/>
    <xf numFmtId="167" fontId="30" fillId="0" borderId="0" xfId="1" applyNumberFormat="1" applyFont="1" applyFill="1" applyBorder="1" applyAlignment="1">
      <alignment horizontal="left"/>
    </xf>
    <xf numFmtId="166" fontId="0" fillId="0" borderId="13" xfId="0" applyNumberFormat="1" applyBorder="1"/>
    <xf numFmtId="166" fontId="0" fillId="0" borderId="3" xfId="0" applyNumberFormat="1" applyBorder="1"/>
    <xf numFmtId="0" fontId="28" fillId="0" borderId="0" xfId="0" applyFont="1"/>
    <xf numFmtId="0" fontId="31" fillId="0" borderId="0" xfId="0" applyFont="1"/>
    <xf numFmtId="166" fontId="0" fillId="0" borderId="7" xfId="0" applyNumberFormat="1" applyBorder="1" applyAlignment="1">
      <alignment horizontal="center"/>
    </xf>
    <xf numFmtId="166" fontId="5" fillId="2" borderId="0" xfId="0" applyNumberFormat="1" applyFont="1" applyFill="1"/>
    <xf numFmtId="166" fontId="5" fillId="2" borderId="14" xfId="0" applyNumberFormat="1" applyFont="1" applyFill="1" applyBorder="1" applyAlignment="1">
      <alignment horizontal="right"/>
    </xf>
    <xf numFmtId="166" fontId="5" fillId="2" borderId="0" xfId="0" applyNumberFormat="1" applyFont="1" applyFill="1" applyBorder="1" applyAlignment="1">
      <alignment horizontal="right"/>
    </xf>
    <xf numFmtId="166" fontId="5" fillId="2" borderId="14" xfId="0" applyNumberFormat="1" applyFont="1" applyFill="1" applyBorder="1"/>
    <xf numFmtId="0" fontId="12" fillId="0" borderId="0" xfId="0" applyFont="1" applyBorder="1"/>
    <xf numFmtId="0" fontId="12" fillId="2" borderId="0" xfId="0" applyFont="1" applyFill="1" applyBorder="1"/>
    <xf numFmtId="0" fontId="12" fillId="2" borderId="0" xfId="0" applyFont="1" applyFill="1" applyBorder="1" applyAlignment="1">
      <alignment horizontal="center"/>
    </xf>
    <xf numFmtId="166" fontId="5" fillId="2" borderId="0" xfId="0" applyNumberFormat="1" applyFont="1" applyFill="1" applyBorder="1"/>
    <xf numFmtId="0" fontId="0" fillId="0" borderId="0" xfId="0" applyFill="1" applyAlignment="1">
      <alignment horizontal="centerContinuous"/>
    </xf>
    <xf numFmtId="0" fontId="12" fillId="0" borderId="6" xfId="0" applyFont="1" applyFill="1" applyBorder="1" applyAlignment="1">
      <alignment horizontal="centerContinuous"/>
    </xf>
    <xf numFmtId="0" fontId="12" fillId="0" borderId="9" xfId="0" applyFont="1" applyFill="1" applyBorder="1" applyAlignment="1">
      <alignment horizontal="center"/>
    </xf>
    <xf numFmtId="166" fontId="0" fillId="0" borderId="14" xfId="0" applyNumberFormat="1" applyFill="1" applyBorder="1" applyAlignment="1">
      <alignment horizontal="center"/>
    </xf>
    <xf numFmtId="166" fontId="0" fillId="0" borderId="13" xfId="0" applyNumberFormat="1" applyFill="1" applyBorder="1" applyAlignment="1">
      <alignment horizontal="center"/>
    </xf>
    <xf numFmtId="0" fontId="0" fillId="0" borderId="0" xfId="0" applyFill="1" applyAlignment="1">
      <alignment wrapText="1"/>
    </xf>
    <xf numFmtId="0" fontId="12" fillId="0" borderId="0" xfId="0" applyFont="1" applyFill="1"/>
    <xf numFmtId="0" fontId="12" fillId="0" borderId="0" xfId="0" applyFont="1" applyFill="1" applyAlignment="1">
      <alignment horizontal="center"/>
    </xf>
    <xf numFmtId="0" fontId="2" fillId="0" borderId="0" xfId="0" applyFont="1" applyFill="1"/>
    <xf numFmtId="0" fontId="0" fillId="0" borderId="0" xfId="0" applyFill="1" applyBorder="1" applyAlignment="1">
      <alignment vertical="top" wrapText="1"/>
    </xf>
    <xf numFmtId="166" fontId="5" fillId="0" borderId="0" xfId="16" quotePrefix="1" applyNumberFormat="1" applyFont="1" applyFill="1" applyBorder="1" applyAlignment="1">
      <alignment horizontal="right"/>
    </xf>
    <xf numFmtId="166" fontId="5" fillId="0" borderId="0" xfId="16" quotePrefix="1" applyNumberFormat="1" applyFont="1" applyFill="1" applyBorder="1" applyAlignment="1">
      <alignment horizontal="left"/>
    </xf>
    <xf numFmtId="0" fontId="29" fillId="0" borderId="0" xfId="0" applyFont="1" applyFill="1" applyBorder="1"/>
    <xf numFmtId="2" fontId="5" fillId="0" borderId="0" xfId="16" applyNumberFormat="1" applyFont="1" applyFill="1" applyBorder="1" applyAlignment="1">
      <alignment horizontal="right"/>
    </xf>
    <xf numFmtId="2" fontId="5" fillId="0" borderId="3" xfId="16" applyNumberFormat="1" applyFont="1" applyFill="1" applyBorder="1" applyAlignment="1">
      <alignment horizontal="right"/>
    </xf>
    <xf numFmtId="169" fontId="5" fillId="0" borderId="0" xfId="16" applyNumberFormat="1" applyFont="1" applyFill="1" applyBorder="1" applyAlignment="1">
      <alignment horizontal="right"/>
    </xf>
    <xf numFmtId="2" fontId="5" fillId="0" borderId="18" xfId="16" applyNumberFormat="1" applyFont="1" applyFill="1" applyBorder="1" applyAlignment="1">
      <alignment horizontal="right"/>
    </xf>
    <xf numFmtId="166" fontId="0" fillId="0" borderId="0" xfId="0" applyNumberFormat="1" applyFill="1" applyAlignment="1">
      <alignment horizontal="center"/>
    </xf>
    <xf numFmtId="0" fontId="0" fillId="0" borderId="3" xfId="0" applyFill="1" applyBorder="1"/>
    <xf numFmtId="0" fontId="12" fillId="0" borderId="12" xfId="0" applyFont="1" applyFill="1" applyBorder="1" applyAlignment="1">
      <alignment horizontal="center"/>
    </xf>
    <xf numFmtId="166" fontId="0" fillId="0" borderId="15" xfId="0" applyNumberFormat="1" applyFill="1" applyBorder="1" applyAlignment="1">
      <alignment horizontal="center"/>
    </xf>
    <xf numFmtId="166" fontId="0" fillId="0" borderId="16" xfId="0" applyNumberFormat="1" applyFill="1" applyBorder="1" applyAlignment="1">
      <alignment horizontal="center"/>
    </xf>
    <xf numFmtId="0" fontId="12" fillId="0" borderId="11" xfId="0" applyFont="1" applyFill="1" applyBorder="1" applyAlignment="1">
      <alignment horizontal="centerContinuous"/>
    </xf>
    <xf numFmtId="166" fontId="0" fillId="0" borderId="10" xfId="0" applyNumberFormat="1" applyFill="1" applyBorder="1" applyAlignment="1">
      <alignment horizontal="center"/>
    </xf>
    <xf numFmtId="0" fontId="13" fillId="0" borderId="0" xfId="0" applyFont="1" applyBorder="1"/>
    <xf numFmtId="166" fontId="5" fillId="2" borderId="22" xfId="0" applyNumberFormat="1" applyFont="1" applyFill="1" applyBorder="1"/>
    <xf numFmtId="1" fontId="29" fillId="0" borderId="0" xfId="0" applyNumberFormat="1" applyFont="1" applyFill="1"/>
    <xf numFmtId="0" fontId="0" fillId="3" borderId="0" xfId="0" applyFill="1"/>
    <xf numFmtId="0" fontId="0" fillId="4" borderId="0" xfId="0" applyFill="1"/>
    <xf numFmtId="0" fontId="0" fillId="3" borderId="0" xfId="0" applyFill="1" applyBorder="1"/>
    <xf numFmtId="0" fontId="0" fillId="4" borderId="0" xfId="0" applyFill="1" applyBorder="1"/>
    <xf numFmtId="0" fontId="0" fillId="5" borderId="0" xfId="0" applyFill="1" applyBorder="1"/>
    <xf numFmtId="0" fontId="0" fillId="0" borderId="0" xfId="0" applyAlignment="1">
      <alignment horizontal="right"/>
    </xf>
    <xf numFmtId="0" fontId="0" fillId="3" borderId="14" xfId="0" applyFill="1" applyBorder="1"/>
    <xf numFmtId="0" fontId="0" fillId="4" borderId="14" xfId="0" applyFill="1" applyBorder="1"/>
    <xf numFmtId="0" fontId="0" fillId="5" borderId="14" xfId="0" applyFill="1" applyBorder="1"/>
    <xf numFmtId="0" fontId="0" fillId="3" borderId="13" xfId="0" applyFill="1" applyBorder="1" applyAlignment="1">
      <alignment horizontal="centerContinuous"/>
    </xf>
    <xf numFmtId="0" fontId="0" fillId="3" borderId="3" xfId="0" applyFill="1" applyBorder="1" applyAlignment="1">
      <alignment horizontal="centerContinuous"/>
    </xf>
    <xf numFmtId="0" fontId="0" fillId="3" borderId="19" xfId="0" applyFill="1" applyBorder="1" applyAlignment="1">
      <alignment horizontal="centerContinuous"/>
    </xf>
    <xf numFmtId="16" fontId="0" fillId="3" borderId="10" xfId="0" applyNumberFormat="1" applyFill="1" applyBorder="1" applyAlignment="1">
      <alignment horizontal="center"/>
    </xf>
    <xf numFmtId="0" fontId="0" fillId="3" borderId="17" xfId="0" applyFill="1" applyBorder="1" applyAlignment="1">
      <alignment horizontal="center"/>
    </xf>
    <xf numFmtId="0" fontId="0" fillId="3" borderId="7" xfId="0" applyFill="1" applyBorder="1" applyAlignment="1">
      <alignment horizontal="center"/>
    </xf>
    <xf numFmtId="16" fontId="0" fillId="4" borderId="10" xfId="0" applyNumberFormat="1" applyFill="1" applyBorder="1" applyAlignment="1">
      <alignment horizontal="center"/>
    </xf>
    <xf numFmtId="0" fontId="0" fillId="4" borderId="17" xfId="0" applyFill="1" applyBorder="1" applyAlignment="1">
      <alignment horizontal="center"/>
    </xf>
    <xf numFmtId="16" fontId="0" fillId="5" borderId="10" xfId="0" applyNumberFormat="1" applyFill="1" applyBorder="1" applyAlignment="1">
      <alignment horizontal="center"/>
    </xf>
    <xf numFmtId="0" fontId="0" fillId="5" borderId="17" xfId="0" applyFill="1" applyBorder="1" applyAlignment="1">
      <alignment horizontal="center"/>
    </xf>
    <xf numFmtId="0" fontId="0" fillId="4" borderId="13" xfId="0" applyFill="1" applyBorder="1" applyAlignment="1">
      <alignment horizontal="centerContinuous"/>
    </xf>
    <xf numFmtId="0" fontId="0" fillId="4" borderId="3" xfId="0" applyFill="1" applyBorder="1" applyAlignment="1">
      <alignment horizontal="centerContinuous"/>
    </xf>
    <xf numFmtId="0" fontId="0" fillId="5" borderId="13" xfId="0" applyFill="1" applyBorder="1" applyAlignment="1">
      <alignment horizontal="centerContinuous"/>
    </xf>
    <xf numFmtId="0" fontId="0" fillId="5" borderId="3" xfId="0" applyFill="1" applyBorder="1" applyAlignment="1">
      <alignment horizontal="centerContinuous"/>
    </xf>
    <xf numFmtId="0" fontId="0" fillId="4" borderId="7" xfId="0" applyFill="1" applyBorder="1" applyAlignment="1">
      <alignment horizontal="center"/>
    </xf>
    <xf numFmtId="0" fontId="0" fillId="5" borderId="7" xfId="0" applyFill="1" applyBorder="1" applyAlignment="1">
      <alignment horizontal="center"/>
    </xf>
    <xf numFmtId="167" fontId="0" fillId="0" borderId="14" xfId="1" applyNumberFormat="1" applyFont="1" applyBorder="1"/>
    <xf numFmtId="167" fontId="0" fillId="3" borderId="0" xfId="1" applyNumberFormat="1" applyFont="1" applyFill="1" applyBorder="1"/>
    <xf numFmtId="167" fontId="0" fillId="0" borderId="0" xfId="1" applyNumberFormat="1" applyFont="1" applyBorder="1"/>
    <xf numFmtId="167" fontId="0" fillId="4" borderId="0" xfId="1" applyNumberFormat="1" applyFont="1" applyFill="1" applyBorder="1"/>
    <xf numFmtId="167" fontId="0" fillId="5" borderId="0" xfId="1" applyNumberFormat="1" applyFont="1" applyFill="1" applyBorder="1"/>
    <xf numFmtId="3" fontId="32" fillId="0" borderId="0" xfId="1" applyNumberFormat="1" applyFont="1" applyFill="1" applyBorder="1" applyAlignment="1">
      <alignment horizontal="right"/>
    </xf>
    <xf numFmtId="3" fontId="32" fillId="0" borderId="0" xfId="4" applyNumberFormat="1" applyFont="1" applyFill="1" applyBorder="1" applyAlignment="1">
      <alignment horizontal="right"/>
    </xf>
    <xf numFmtId="3" fontId="32" fillId="0" borderId="15" xfId="4" applyNumberFormat="1" applyFont="1" applyFill="1" applyBorder="1" applyAlignment="1">
      <alignment horizontal="right"/>
    </xf>
    <xf numFmtId="0" fontId="1" fillId="0" borderId="0" xfId="4" applyFont="1"/>
    <xf numFmtId="3" fontId="33" fillId="0" borderId="0" xfId="4" applyNumberFormat="1" applyFont="1" applyFill="1" applyBorder="1" applyAlignment="1">
      <alignment horizontal="right"/>
    </xf>
    <xf numFmtId="3" fontId="12" fillId="0" borderId="0" xfId="4" applyNumberFormat="1" applyFont="1" applyFill="1" applyBorder="1" applyAlignment="1">
      <alignment horizontal="right"/>
    </xf>
    <xf numFmtId="3" fontId="12" fillId="0" borderId="15" xfId="4" applyNumberFormat="1" applyFont="1" applyFill="1" applyBorder="1" applyAlignment="1">
      <alignment horizontal="right"/>
    </xf>
    <xf numFmtId="3" fontId="5" fillId="4" borderId="14" xfId="1" applyNumberFormat="1" applyFont="1" applyFill="1" applyBorder="1" applyAlignment="1">
      <alignment vertical="top"/>
    </xf>
    <xf numFmtId="3" fontId="32" fillId="0" borderId="0" xfId="4" applyNumberFormat="1" applyFont="1" applyFill="1" applyBorder="1" applyAlignment="1">
      <alignment vertical="top"/>
    </xf>
    <xf numFmtId="3" fontId="32" fillId="8" borderId="0" xfId="4" applyNumberFormat="1" applyFont="1" applyFill="1" applyBorder="1" applyAlignment="1">
      <alignment vertical="top"/>
    </xf>
    <xf numFmtId="3" fontId="5" fillId="4" borderId="15" xfId="1" applyNumberFormat="1" applyFont="1" applyFill="1" applyBorder="1" applyAlignment="1">
      <alignment vertical="top"/>
    </xf>
    <xf numFmtId="3" fontId="32" fillId="0" borderId="15" xfId="4" applyNumberFormat="1" applyFont="1" applyFill="1" applyBorder="1" applyAlignment="1">
      <alignment vertical="top"/>
    </xf>
    <xf numFmtId="3" fontId="32" fillId="0" borderId="18" xfId="4" applyNumberFormat="1" applyFont="1" applyFill="1" applyBorder="1" applyAlignment="1">
      <alignment vertical="top"/>
    </xf>
    <xf numFmtId="0" fontId="5" fillId="0" borderId="0" xfId="4" applyFont="1" applyAlignment="1">
      <alignment vertical="top"/>
    </xf>
    <xf numFmtId="49" fontId="1" fillId="0" borderId="0" xfId="4" applyNumberFormat="1" applyFont="1" applyFill="1" applyBorder="1" applyAlignment="1">
      <alignment horizontal="center"/>
    </xf>
    <xf numFmtId="49" fontId="1" fillId="0" borderId="0" xfId="4" applyNumberFormat="1" applyFont="1" applyFill="1" applyBorder="1" applyAlignment="1">
      <alignment horizontal="left"/>
    </xf>
    <xf numFmtId="0" fontId="1" fillId="0" borderId="0" xfId="4" applyFont="1" applyFill="1" applyBorder="1"/>
    <xf numFmtId="0" fontId="36" fillId="0" borderId="0" xfId="4" applyFont="1" applyFill="1" applyBorder="1"/>
    <xf numFmtId="0" fontId="37" fillId="0" borderId="0" xfId="4" applyFont="1" applyFill="1" applyBorder="1"/>
    <xf numFmtId="49" fontId="33" fillId="0" borderId="3" xfId="4" applyNumberFormat="1" applyFont="1" applyFill="1" applyBorder="1" applyAlignment="1">
      <alignment horizontal="left"/>
    </xf>
    <xf numFmtId="0" fontId="1" fillId="7" borderId="0" xfId="4" applyFont="1" applyFill="1"/>
    <xf numFmtId="3" fontId="5" fillId="0" borderId="0" xfId="0" applyNumberFormat="1" applyFont="1"/>
    <xf numFmtId="49" fontId="5" fillId="14" borderId="0" xfId="8" applyNumberFormat="1" applyFont="1" applyFill="1" applyBorder="1" applyAlignment="1">
      <alignment horizontal="center"/>
    </xf>
    <xf numFmtId="49" fontId="5" fillId="14" borderId="0" xfId="8" applyNumberFormat="1" applyFont="1" applyFill="1" applyBorder="1" applyAlignment="1">
      <alignment horizontal="left"/>
    </xf>
    <xf numFmtId="49" fontId="5" fillId="14" borderId="23" xfId="7" applyNumberFormat="1" applyFont="1" applyFill="1" applyBorder="1" applyAlignment="1">
      <alignment horizontal="center"/>
    </xf>
    <xf numFmtId="3" fontId="5" fillId="6" borderId="14" xfId="1" applyNumberFormat="1" applyFont="1" applyFill="1" applyBorder="1" applyAlignment="1"/>
    <xf numFmtId="3" fontId="5" fillId="4" borderId="14" xfId="1" applyNumberFormat="1" applyFont="1" applyFill="1" applyBorder="1" applyAlignment="1"/>
    <xf numFmtId="3" fontId="32" fillId="0" borderId="0" xfId="5" applyNumberFormat="1" applyFont="1" applyFill="1" applyBorder="1" applyAlignment="1">
      <alignment horizontal="right"/>
    </xf>
    <xf numFmtId="3" fontId="5" fillId="4" borderId="15" xfId="1" applyNumberFormat="1" applyFont="1" applyFill="1" applyBorder="1" applyAlignment="1"/>
    <xf numFmtId="3" fontId="32" fillId="7" borderId="0" xfId="1" applyNumberFormat="1" applyFont="1" applyFill="1" applyBorder="1" applyAlignment="1"/>
    <xf numFmtId="3" fontId="32" fillId="0" borderId="15" xfId="5" applyNumberFormat="1" applyFont="1" applyFill="1" applyBorder="1" applyAlignment="1">
      <alignment horizontal="right"/>
    </xf>
    <xf numFmtId="3" fontId="32" fillId="0" borderId="18" xfId="5" applyNumberFormat="1" applyFont="1" applyFill="1" applyBorder="1" applyAlignment="1">
      <alignment horizontal="right"/>
    </xf>
    <xf numFmtId="0" fontId="5" fillId="0" borderId="0" xfId="5" applyFont="1"/>
    <xf numFmtId="49" fontId="5" fillId="14" borderId="0" xfId="11" applyNumberFormat="1" applyFont="1" applyFill="1" applyBorder="1" applyAlignment="1">
      <alignment horizontal="left"/>
    </xf>
    <xf numFmtId="49" fontId="5" fillId="14" borderId="0" xfId="11" applyNumberFormat="1" applyFont="1" applyFill="1" applyBorder="1" applyAlignment="1">
      <alignment horizontal="center"/>
    </xf>
    <xf numFmtId="49" fontId="5" fillId="14" borderId="0" xfId="7" applyNumberFormat="1" applyFont="1" applyFill="1" applyBorder="1" applyAlignment="1">
      <alignment horizontal="center"/>
    </xf>
    <xf numFmtId="49" fontId="5" fillId="14" borderId="0" xfId="1" applyNumberFormat="1" applyFont="1" applyFill="1" applyBorder="1" applyAlignment="1">
      <alignment horizontal="left"/>
    </xf>
    <xf numFmtId="49" fontId="5" fillId="15" borderId="23" xfId="15" applyNumberFormat="1" applyFont="1" applyFill="1" applyBorder="1" applyAlignment="1" applyProtection="1">
      <alignment horizontal="center"/>
    </xf>
    <xf numFmtId="49" fontId="5" fillId="14" borderId="18" xfId="7" applyNumberFormat="1" applyFont="1" applyFill="1" applyBorder="1" applyAlignment="1">
      <alignment horizontal="center"/>
    </xf>
    <xf numFmtId="49" fontId="5" fillId="15" borderId="0" xfId="15" applyNumberFormat="1" applyFont="1" applyFill="1" applyBorder="1" applyAlignment="1" applyProtection="1">
      <alignment horizontal="center"/>
    </xf>
    <xf numFmtId="3" fontId="32" fillId="0" borderId="18" xfId="4" applyNumberFormat="1" applyFont="1" applyFill="1" applyBorder="1" applyAlignment="1">
      <alignment horizontal="right"/>
    </xf>
    <xf numFmtId="49" fontId="5" fillId="6" borderId="0" xfId="8" applyNumberFormat="1" applyFont="1" applyFill="1" applyBorder="1" applyAlignment="1">
      <alignment horizontal="center"/>
    </xf>
    <xf numFmtId="49" fontId="5" fillId="3" borderId="0" xfId="7" applyNumberFormat="1" applyFont="1" applyFill="1" applyBorder="1" applyAlignment="1">
      <alignment horizontal="left"/>
    </xf>
    <xf numFmtId="3" fontId="5" fillId="3" borderId="0" xfId="11" applyFont="1" applyFill="1" applyBorder="1" applyAlignment="1" applyProtection="1"/>
    <xf numFmtId="168" fontId="29" fillId="4" borderId="0" xfId="7" applyFont="1" applyFill="1" applyBorder="1"/>
    <xf numFmtId="49" fontId="5" fillId="4" borderId="0" xfId="7" applyNumberFormat="1" applyFont="1" applyFill="1" applyBorder="1" applyAlignment="1">
      <alignment horizontal="center"/>
    </xf>
    <xf numFmtId="1" fontId="29" fillId="4" borderId="0" xfId="7" applyNumberFormat="1" applyFont="1" applyFill="1" applyBorder="1" applyAlignment="1">
      <alignment horizontal="center"/>
    </xf>
    <xf numFmtId="168" fontId="5" fillId="4" borderId="0" xfId="7" applyFont="1" applyFill="1" applyBorder="1" applyAlignment="1"/>
    <xf numFmtId="49" fontId="5" fillId="2" borderId="0" xfId="7" applyNumberFormat="1" applyFont="1" applyFill="1" applyBorder="1" applyAlignment="1">
      <alignment horizontal="left"/>
    </xf>
    <xf numFmtId="49" fontId="29" fillId="2" borderId="0" xfId="7" applyNumberFormat="1" applyFont="1" applyFill="1" applyBorder="1" applyAlignment="1">
      <alignment horizontal="left"/>
    </xf>
    <xf numFmtId="49" fontId="5" fillId="2" borderId="0" xfId="7" applyNumberFormat="1" applyFont="1" applyFill="1" applyBorder="1" applyAlignment="1">
      <alignment horizontal="center"/>
    </xf>
    <xf numFmtId="1" fontId="29" fillId="2" borderId="0" xfId="7" applyNumberFormat="1" applyFont="1" applyFill="1" applyBorder="1" applyAlignment="1">
      <alignment horizontal="center"/>
    </xf>
    <xf numFmtId="1" fontId="5" fillId="2" borderId="0" xfId="7" applyNumberFormat="1" applyFont="1" applyFill="1" applyBorder="1" applyAlignment="1">
      <alignment horizontal="center"/>
    </xf>
    <xf numFmtId="3" fontId="29" fillId="10" borderId="0" xfId="11" applyFont="1" applyFill="1" applyBorder="1" applyAlignment="1" applyProtection="1"/>
    <xf numFmtId="49" fontId="5" fillId="10" borderId="0" xfId="11" applyNumberFormat="1" applyFont="1" applyFill="1" applyBorder="1" applyAlignment="1" applyProtection="1">
      <alignment horizontal="center"/>
    </xf>
    <xf numFmtId="1" fontId="29" fillId="11" borderId="0" xfId="15" applyNumberFormat="1" applyFont="1" applyFill="1" applyBorder="1" applyAlignment="1" applyProtection="1">
      <alignment horizontal="center"/>
    </xf>
    <xf numFmtId="3" fontId="5" fillId="10" borderId="0" xfId="11" applyFont="1" applyFill="1" applyBorder="1" applyAlignment="1" applyProtection="1"/>
    <xf numFmtId="49" fontId="5" fillId="14" borderId="0" xfId="7" applyNumberFormat="1" applyFont="1" applyFill="1" applyBorder="1" applyAlignment="1">
      <alignment horizontal="left"/>
    </xf>
    <xf numFmtId="49" fontId="42" fillId="14" borderId="0" xfId="11" applyNumberFormat="1" applyFont="1" applyFill="1" applyBorder="1" applyAlignment="1" applyProtection="1">
      <alignment horizontal="left"/>
    </xf>
    <xf numFmtId="49" fontId="5" fillId="14" borderId="0" xfId="11" applyNumberFormat="1" applyFont="1" applyFill="1" applyBorder="1" applyAlignment="1" applyProtection="1">
      <alignment horizontal="center"/>
    </xf>
    <xf numFmtId="3" fontId="29" fillId="14" borderId="0" xfId="11" applyFont="1" applyFill="1" applyBorder="1" applyAlignment="1" applyProtection="1"/>
    <xf numFmtId="1" fontId="29" fillId="15" borderId="0" xfId="15" applyNumberFormat="1" applyFont="1" applyFill="1" applyBorder="1" applyAlignment="1" applyProtection="1">
      <alignment horizontal="center"/>
    </xf>
    <xf numFmtId="3" fontId="5" fillId="14" borderId="0" xfId="11" applyFont="1" applyFill="1" applyBorder="1" applyAlignment="1" applyProtection="1"/>
    <xf numFmtId="168" fontId="5" fillId="14" borderId="0" xfId="7" applyFont="1" applyFill="1" applyBorder="1" applyAlignment="1"/>
    <xf numFmtId="3" fontId="5" fillId="3" borderId="0" xfId="11" applyFont="1" applyFill="1" applyBorder="1" applyAlignment="1"/>
    <xf numFmtId="49" fontId="29" fillId="4" borderId="0" xfId="8" applyNumberFormat="1" applyFont="1" applyFill="1" applyBorder="1" applyAlignment="1">
      <alignment horizontal="left"/>
    </xf>
    <xf numFmtId="49" fontId="5" fillId="4" borderId="0" xfId="8" applyNumberFormat="1" applyFont="1" applyFill="1" applyBorder="1" applyAlignment="1">
      <alignment horizontal="center"/>
    </xf>
    <xf numFmtId="49" fontId="5" fillId="4" borderId="0" xfId="8" applyNumberFormat="1" applyFont="1" applyFill="1" applyBorder="1" applyAlignment="1">
      <alignment horizontal="left"/>
    </xf>
    <xf numFmtId="3" fontId="29" fillId="4" borderId="0" xfId="11" applyFont="1" applyFill="1" applyBorder="1"/>
    <xf numFmtId="49" fontId="5" fillId="4" borderId="0" xfId="11" applyNumberFormat="1" applyFont="1" applyFill="1" applyBorder="1" applyAlignment="1">
      <alignment horizontal="center"/>
    </xf>
    <xf numFmtId="1" fontId="29" fillId="16" borderId="0" xfId="15" applyNumberFormat="1" applyFont="1" applyFill="1" applyBorder="1" applyAlignment="1" applyProtection="1">
      <alignment horizontal="center"/>
    </xf>
    <xf numFmtId="49" fontId="5" fillId="20" borderId="0" xfId="8" applyNumberFormat="1" applyFont="1" applyFill="1" applyBorder="1" applyAlignment="1">
      <alignment horizontal="left"/>
    </xf>
    <xf numFmtId="3" fontId="5" fillId="20" borderId="0" xfId="11" applyFont="1" applyFill="1" applyBorder="1" applyAlignment="1"/>
    <xf numFmtId="49" fontId="5" fillId="20" borderId="0" xfId="8" applyNumberFormat="1" applyFont="1" applyFill="1" applyBorder="1" applyAlignment="1">
      <alignment horizontal="center"/>
    </xf>
    <xf numFmtId="49" fontId="29" fillId="5" borderId="0" xfId="8" applyNumberFormat="1" applyFont="1" applyFill="1" applyBorder="1" applyAlignment="1">
      <alignment horizontal="left"/>
    </xf>
    <xf numFmtId="49" fontId="5" fillId="5" borderId="0" xfId="8" applyNumberFormat="1" applyFont="1" applyFill="1" applyBorder="1" applyAlignment="1">
      <alignment horizontal="center"/>
    </xf>
    <xf numFmtId="1" fontId="29" fillId="5" borderId="0" xfId="7" applyNumberFormat="1" applyFont="1" applyFill="1" applyBorder="1" applyAlignment="1">
      <alignment horizontal="center"/>
    </xf>
    <xf numFmtId="168" fontId="5" fillId="5" borderId="0" xfId="8" applyFont="1" applyFill="1" applyBorder="1"/>
    <xf numFmtId="3" fontId="5" fillId="10" borderId="0" xfId="11" applyFont="1" applyFill="1" applyBorder="1" applyAlignment="1"/>
    <xf numFmtId="3" fontId="5" fillId="14" borderId="0" xfId="11" applyFont="1" applyFill="1" applyBorder="1" applyAlignment="1"/>
    <xf numFmtId="3" fontId="29" fillId="14" borderId="0" xfId="11" applyFont="1" applyFill="1" applyBorder="1" applyAlignment="1"/>
    <xf numFmtId="49" fontId="5" fillId="6" borderId="0" xfId="8" applyNumberFormat="1" applyFont="1" applyFill="1" applyBorder="1" applyAlignment="1">
      <alignment horizontal="left"/>
    </xf>
    <xf numFmtId="3" fontId="29" fillId="3" borderId="0" xfId="11" applyFont="1" applyFill="1" applyBorder="1" applyAlignment="1"/>
    <xf numFmtId="49" fontId="5" fillId="3" borderId="0" xfId="11" applyNumberFormat="1" applyFont="1" applyFill="1" applyBorder="1" applyAlignment="1">
      <alignment horizontal="center"/>
    </xf>
    <xf numFmtId="49" fontId="5" fillId="5" borderId="0" xfId="8" applyNumberFormat="1" applyFont="1" applyFill="1" applyBorder="1" applyAlignment="1">
      <alignment horizontal="left"/>
    </xf>
    <xf numFmtId="49" fontId="29" fillId="2" borderId="0" xfId="8" applyNumberFormat="1" applyFont="1" applyFill="1" applyBorder="1" applyAlignment="1">
      <alignment horizontal="left"/>
    </xf>
    <xf numFmtId="49" fontId="5" fillId="2" borderId="0" xfId="8" applyNumberFormat="1" applyFont="1" applyFill="1" applyBorder="1" applyAlignment="1">
      <alignment horizontal="center"/>
    </xf>
    <xf numFmtId="49" fontId="5" fillId="2" borderId="0" xfId="8" applyNumberFormat="1" applyFont="1" applyFill="1" applyBorder="1" applyAlignment="1">
      <alignment horizontal="left"/>
    </xf>
    <xf numFmtId="3" fontId="5" fillId="2" borderId="0" xfId="11" applyFont="1" applyFill="1" applyBorder="1" applyAlignment="1"/>
    <xf numFmtId="49" fontId="5" fillId="6" borderId="0" xfId="14" applyNumberFormat="1" applyFont="1" applyFill="1" applyBorder="1" applyAlignment="1" applyProtection="1">
      <alignment horizontal="left"/>
    </xf>
    <xf numFmtId="168" fontId="5" fillId="6" borderId="0" xfId="8" applyFont="1" applyFill="1" applyBorder="1"/>
    <xf numFmtId="1" fontId="29" fillId="4" borderId="23" xfId="7" applyNumberFormat="1" applyFont="1" applyFill="1" applyBorder="1" applyAlignment="1">
      <alignment horizontal="center"/>
    </xf>
    <xf numFmtId="1" fontId="5" fillId="2" borderId="23" xfId="7" applyNumberFormat="1" applyFont="1" applyFill="1" applyBorder="1" applyAlignment="1">
      <alignment horizontal="center"/>
    </xf>
    <xf numFmtId="1" fontId="42" fillId="14" borderId="0" xfId="7" applyNumberFormat="1" applyFont="1" applyFill="1" applyBorder="1" applyAlignment="1">
      <alignment horizontal="center"/>
    </xf>
    <xf numFmtId="49" fontId="5" fillId="0" borderId="6" xfId="12" applyNumberFormat="1" applyFont="1" applyFill="1" applyBorder="1" applyAlignment="1" applyProtection="1">
      <alignment horizontal="center"/>
    </xf>
    <xf numFmtId="49" fontId="5" fillId="0" borderId="6" xfId="10" applyNumberFormat="1" applyFont="1" applyBorder="1" applyAlignment="1">
      <alignment horizontal="center"/>
    </xf>
    <xf numFmtId="0" fontId="12" fillId="0" borderId="9" xfId="9" applyFont="1" applyFill="1" applyBorder="1" applyAlignment="1">
      <alignment horizontal="left"/>
    </xf>
    <xf numFmtId="0" fontId="5" fillId="0" borderId="6" xfId="10" applyFont="1" applyFill="1" applyBorder="1" applyAlignment="1"/>
    <xf numFmtId="0" fontId="12" fillId="0" borderId="6" xfId="9" applyFont="1" applyFill="1" applyBorder="1" applyAlignment="1">
      <alignment horizontal="left"/>
    </xf>
    <xf numFmtId="0" fontId="12" fillId="0" borderId="6" xfId="10" applyFont="1" applyFill="1" applyBorder="1" applyAlignment="1"/>
    <xf numFmtId="49" fontId="5" fillId="9" borderId="0" xfId="10" applyNumberFormat="1" applyFont="1" applyFill="1" applyBorder="1" applyAlignment="1">
      <alignment horizontal="center"/>
    </xf>
    <xf numFmtId="49" fontId="5" fillId="9" borderId="0" xfId="10" applyNumberFormat="1" applyFont="1" applyFill="1" applyBorder="1" applyAlignment="1">
      <alignment horizontal="left"/>
    </xf>
    <xf numFmtId="3" fontId="33" fillId="7" borderId="18" xfId="10" applyNumberFormat="1" applyFont="1" applyFill="1" applyBorder="1" applyAlignment="1">
      <alignment horizontal="left"/>
    </xf>
    <xf numFmtId="0" fontId="5" fillId="4" borderId="14" xfId="10" applyFont="1" applyFill="1" applyBorder="1" applyAlignment="1"/>
    <xf numFmtId="0" fontId="32" fillId="0" borderId="17" xfId="10" applyFont="1" applyBorder="1" applyAlignment="1">
      <alignment horizontal="centerContinuous"/>
    </xf>
    <xf numFmtId="0" fontId="12" fillId="4" borderId="13" xfId="10" applyFont="1" applyFill="1" applyBorder="1" applyAlignment="1">
      <alignment horizontal="centerContinuous" wrapText="1"/>
    </xf>
    <xf numFmtId="0" fontId="5" fillId="4" borderId="3" xfId="10" applyFont="1" applyFill="1" applyBorder="1" applyAlignment="1">
      <alignment horizontal="centerContinuous"/>
    </xf>
    <xf numFmtId="0" fontId="5" fillId="4" borderId="19" xfId="10" applyFont="1" applyFill="1" applyBorder="1" applyAlignment="1">
      <alignment horizontal="centerContinuous"/>
    </xf>
    <xf numFmtId="0" fontId="32" fillId="0" borderId="13" xfId="10" applyFont="1" applyBorder="1" applyAlignment="1">
      <alignment horizontal="centerContinuous" wrapText="1"/>
    </xf>
    <xf numFmtId="0" fontId="12" fillId="0" borderId="3" xfId="10" applyFont="1" applyBorder="1" applyAlignment="1">
      <alignment horizontal="centerContinuous"/>
    </xf>
    <xf numFmtId="0" fontId="12" fillId="0" borderId="19" xfId="10" applyFont="1" applyBorder="1" applyAlignment="1">
      <alignment horizontal="centerContinuous"/>
    </xf>
    <xf numFmtId="0" fontId="5" fillId="4" borderId="15" xfId="10" applyFont="1" applyFill="1" applyBorder="1" applyAlignment="1"/>
    <xf numFmtId="3" fontId="33" fillId="7" borderId="14" xfId="10" applyNumberFormat="1" applyFont="1" applyFill="1" applyBorder="1" applyAlignment="1">
      <alignment horizontal="left"/>
    </xf>
    <xf numFmtId="49" fontId="5" fillId="9" borderId="3" xfId="10" applyNumberFormat="1" applyFont="1" applyFill="1" applyBorder="1" applyAlignment="1">
      <alignment horizontal="center"/>
    </xf>
    <xf numFmtId="49" fontId="5" fillId="9" borderId="3" xfId="10" applyNumberFormat="1" applyFont="1" applyFill="1" applyBorder="1" applyAlignment="1">
      <alignment horizontal="left"/>
    </xf>
    <xf numFmtId="49" fontId="5" fillId="9" borderId="3" xfId="10" applyNumberFormat="1" applyFont="1" applyFill="1" applyBorder="1" applyAlignment="1">
      <alignment horizontal="center" wrapText="1"/>
    </xf>
    <xf numFmtId="0" fontId="12" fillId="6" borderId="13" xfId="10" applyFont="1" applyFill="1" applyBorder="1" applyAlignment="1">
      <alignment horizontal="center" wrapText="1"/>
    </xf>
    <xf numFmtId="0" fontId="32" fillId="7" borderId="19" xfId="10" applyFont="1" applyFill="1" applyBorder="1" applyAlignment="1">
      <alignment horizontal="center" wrapText="1"/>
    </xf>
    <xf numFmtId="0" fontId="12" fillId="4" borderId="13" xfId="10" applyFont="1" applyFill="1" applyBorder="1" applyAlignment="1">
      <alignment horizontal="center" wrapText="1"/>
    </xf>
    <xf numFmtId="0" fontId="32" fillId="0" borderId="19" xfId="10" applyFont="1" applyBorder="1" applyAlignment="1">
      <alignment horizontal="centerContinuous" wrapText="1"/>
    </xf>
    <xf numFmtId="0" fontId="12" fillId="4" borderId="12" xfId="10" applyFont="1" applyFill="1" applyBorder="1" applyAlignment="1">
      <alignment horizontal="center" wrapText="1"/>
    </xf>
    <xf numFmtId="0" fontId="12" fillId="4" borderId="16" xfId="10" applyFont="1" applyFill="1" applyBorder="1" applyAlignment="1">
      <alignment horizontal="center" wrapText="1"/>
    </xf>
    <xf numFmtId="0" fontId="32" fillId="0" borderId="9" xfId="10" applyFont="1" applyBorder="1" applyAlignment="1">
      <alignment horizontal="center" wrapText="1"/>
    </xf>
    <xf numFmtId="0" fontId="32" fillId="0" borderId="12" xfId="10" applyFont="1" applyBorder="1" applyAlignment="1">
      <alignment horizontal="center" wrapText="1"/>
    </xf>
    <xf numFmtId="0" fontId="32" fillId="0" borderId="11" xfId="10" applyFont="1" applyBorder="1" applyAlignment="1">
      <alignment horizontal="center" wrapText="1"/>
    </xf>
    <xf numFmtId="49" fontId="5" fillId="8" borderId="0" xfId="10" applyNumberFormat="1" applyFont="1" applyFill="1" applyBorder="1" applyAlignment="1">
      <alignment horizontal="center"/>
    </xf>
    <xf numFmtId="49" fontId="5" fillId="8" borderId="0" xfId="10" applyNumberFormat="1" applyFont="1" applyFill="1" applyBorder="1" applyAlignment="1">
      <alignment horizontal="left"/>
    </xf>
    <xf numFmtId="0" fontId="5" fillId="8" borderId="0" xfId="10" applyFont="1" applyFill="1" applyBorder="1" applyAlignment="1">
      <alignment horizontal="center" wrapText="1"/>
    </xf>
    <xf numFmtId="0" fontId="5" fillId="8" borderId="15" xfId="10" applyFont="1" applyFill="1" applyBorder="1" applyAlignment="1">
      <alignment horizontal="center" wrapText="1"/>
    </xf>
    <xf numFmtId="0" fontId="5" fillId="8" borderId="18" xfId="10" applyFont="1" applyFill="1" applyBorder="1" applyAlignment="1">
      <alignment horizontal="center" wrapText="1"/>
    </xf>
    <xf numFmtId="49" fontId="5" fillId="3" borderId="0" xfId="7" applyNumberFormat="1" applyFont="1" applyFill="1" applyBorder="1" applyAlignment="1">
      <alignment horizontal="center"/>
    </xf>
    <xf numFmtId="49" fontId="5" fillId="3" borderId="0" xfId="11" applyNumberFormat="1" applyFont="1" applyFill="1" applyBorder="1" applyAlignment="1" applyProtection="1">
      <alignment horizontal="left"/>
    </xf>
    <xf numFmtId="49" fontId="5" fillId="4" borderId="0" xfId="7" applyNumberFormat="1" applyFont="1" applyFill="1" applyBorder="1" applyAlignment="1">
      <alignment horizontal="left"/>
    </xf>
    <xf numFmtId="49" fontId="5" fillId="4" borderId="0" xfId="11" applyNumberFormat="1" applyFont="1" applyFill="1" applyBorder="1" applyAlignment="1" applyProtection="1">
      <alignment horizontal="left"/>
    </xf>
    <xf numFmtId="49" fontId="5" fillId="4" borderId="23" xfId="7" applyNumberFormat="1" applyFont="1" applyFill="1" applyBorder="1" applyAlignment="1">
      <alignment horizontal="center"/>
    </xf>
    <xf numFmtId="49" fontId="5" fillId="7" borderId="0" xfId="7" applyNumberFormat="1" applyFont="1" applyFill="1" applyBorder="1" applyAlignment="1">
      <alignment horizontal="center"/>
    </xf>
    <xf numFmtId="0" fontId="5" fillId="7" borderId="0" xfId="7" applyNumberFormat="1" applyFont="1" applyFill="1" applyBorder="1" applyAlignment="1">
      <alignment horizontal="center"/>
    </xf>
    <xf numFmtId="3" fontId="5" fillId="7" borderId="14" xfId="1" applyNumberFormat="1" applyFont="1" applyFill="1" applyBorder="1" applyAlignment="1"/>
    <xf numFmtId="3" fontId="32" fillId="7" borderId="0" xfId="4" applyNumberFormat="1" applyFont="1" applyFill="1" applyBorder="1" applyAlignment="1">
      <alignment horizontal="right"/>
    </xf>
    <xf numFmtId="3" fontId="5" fillId="7" borderId="15" xfId="1" applyNumberFormat="1" applyFont="1" applyFill="1" applyBorder="1" applyAlignment="1"/>
    <xf numFmtId="3" fontId="32" fillId="7" borderId="15" xfId="4" applyNumberFormat="1" applyFont="1" applyFill="1" applyBorder="1" applyAlignment="1">
      <alignment horizontal="right"/>
    </xf>
    <xf numFmtId="3" fontId="32" fillId="7" borderId="18" xfId="4" applyNumberFormat="1" applyFont="1" applyFill="1" applyBorder="1" applyAlignment="1">
      <alignment horizontal="right"/>
    </xf>
    <xf numFmtId="0" fontId="5" fillId="0" borderId="0" xfId="6" applyNumberFormat="1" applyFont="1" applyBorder="1"/>
    <xf numFmtId="0" fontId="5" fillId="0" borderId="15" xfId="6" applyNumberFormat="1" applyFont="1" applyBorder="1"/>
    <xf numFmtId="0" fontId="5" fillId="0" borderId="0" xfId="6" applyNumberFormat="1" applyFont="1"/>
    <xf numFmtId="49" fontId="5" fillId="10" borderId="0" xfId="7" applyNumberFormat="1" applyFont="1" applyFill="1" applyBorder="1" applyAlignment="1">
      <alignment horizontal="center"/>
    </xf>
    <xf numFmtId="49" fontId="5" fillId="10" borderId="0" xfId="7" applyNumberFormat="1" applyFont="1" applyFill="1" applyBorder="1" applyAlignment="1">
      <alignment horizontal="left"/>
    </xf>
    <xf numFmtId="3" fontId="32" fillId="0" borderId="4" xfId="4" applyNumberFormat="1" applyFont="1" applyFill="1" applyBorder="1" applyAlignment="1">
      <alignment horizontal="right"/>
    </xf>
    <xf numFmtId="3" fontId="32" fillId="0" borderId="8" xfId="4" applyNumberFormat="1" applyFont="1" applyFill="1" applyBorder="1" applyAlignment="1">
      <alignment horizontal="right"/>
    </xf>
    <xf numFmtId="3" fontId="32" fillId="0" borderId="5" xfId="4" applyNumberFormat="1" applyFont="1" applyFill="1" applyBorder="1" applyAlignment="1">
      <alignment horizontal="right"/>
    </xf>
    <xf numFmtId="49" fontId="5" fillId="10" borderId="18" xfId="7" applyNumberFormat="1" applyFont="1" applyFill="1" applyBorder="1" applyAlignment="1">
      <alignment horizontal="center"/>
    </xf>
    <xf numFmtId="49" fontId="5" fillId="14" borderId="0" xfId="11" applyNumberFormat="1" applyFont="1" applyFill="1" applyBorder="1" applyAlignment="1" applyProtection="1">
      <alignment horizontal="left"/>
    </xf>
    <xf numFmtId="49" fontId="5" fillId="3" borderId="0" xfId="8" applyNumberFormat="1" applyFont="1" applyFill="1" applyBorder="1" applyAlignment="1">
      <alignment horizontal="left"/>
    </xf>
    <xf numFmtId="49" fontId="5" fillId="3" borderId="0" xfId="8" applyNumberFormat="1" applyFont="1" applyFill="1" applyBorder="1" applyAlignment="1">
      <alignment horizontal="center"/>
    </xf>
    <xf numFmtId="49" fontId="5" fillId="3" borderId="18" xfId="7" applyNumberFormat="1" applyFont="1" applyFill="1" applyBorder="1" applyAlignment="1">
      <alignment horizontal="center"/>
    </xf>
    <xf numFmtId="49" fontId="5" fillId="3" borderId="0" xfId="11" applyNumberFormat="1" applyFont="1" applyFill="1" applyBorder="1" applyAlignment="1" applyProtection="1">
      <alignment horizontal="center"/>
    </xf>
    <xf numFmtId="49" fontId="5" fillId="12" borderId="0" xfId="15" applyNumberFormat="1" applyFont="1" applyFill="1" applyBorder="1" applyAlignment="1" applyProtection="1">
      <alignment horizontal="center"/>
    </xf>
    <xf numFmtId="49" fontId="5" fillId="4" borderId="0" xfId="11" applyNumberFormat="1" applyFont="1" applyFill="1" applyBorder="1" applyAlignment="1">
      <alignment horizontal="left"/>
    </xf>
    <xf numFmtId="49" fontId="5" fillId="16" borderId="0" xfId="15" applyNumberFormat="1" applyFont="1" applyFill="1" applyBorder="1" applyAlignment="1" applyProtection="1">
      <alignment horizontal="center"/>
    </xf>
    <xf numFmtId="49" fontId="5" fillId="20" borderId="0" xfId="7" applyNumberFormat="1" applyFont="1" applyFill="1" applyBorder="1" applyAlignment="1">
      <alignment horizontal="center"/>
    </xf>
    <xf numFmtId="49" fontId="5" fillId="20" borderId="18" xfId="7" applyNumberFormat="1" applyFont="1" applyFill="1" applyBorder="1" applyAlignment="1">
      <alignment horizontal="center"/>
    </xf>
    <xf numFmtId="49" fontId="5" fillId="20" borderId="0" xfId="11" applyNumberFormat="1" applyFont="1" applyFill="1" applyBorder="1" applyAlignment="1">
      <alignment horizontal="left"/>
    </xf>
    <xf numFmtId="49" fontId="5" fillId="20" borderId="0" xfId="11" applyNumberFormat="1" applyFont="1" applyFill="1" applyBorder="1" applyAlignment="1">
      <alignment horizontal="center"/>
    </xf>
    <xf numFmtId="49" fontId="5" fillId="19" borderId="0" xfId="15" applyNumberFormat="1" applyFont="1" applyFill="1" applyBorder="1" applyAlignment="1" applyProtection="1">
      <alignment horizontal="center"/>
    </xf>
    <xf numFmtId="49" fontId="5" fillId="20" borderId="23" xfId="7" applyNumberFormat="1" applyFont="1" applyFill="1" applyBorder="1" applyAlignment="1">
      <alignment horizontal="center"/>
    </xf>
    <xf numFmtId="49" fontId="5" fillId="19" borderId="23" xfId="15" applyNumberFormat="1" applyFont="1" applyFill="1" applyBorder="1" applyAlignment="1" applyProtection="1">
      <alignment horizontal="center"/>
    </xf>
    <xf numFmtId="49" fontId="5" fillId="19" borderId="18" xfId="15" applyNumberFormat="1" applyFont="1" applyFill="1" applyBorder="1" applyAlignment="1" applyProtection="1">
      <alignment horizontal="center"/>
    </xf>
    <xf numFmtId="49" fontId="5" fillId="5" borderId="0" xfId="7" applyNumberFormat="1" applyFont="1" applyFill="1" applyBorder="1" applyAlignment="1">
      <alignment horizontal="center"/>
    </xf>
    <xf numFmtId="3" fontId="43" fillId="0" borderId="24" xfId="13" applyNumberFormat="1" applyFont="1" applyFill="1" applyBorder="1" applyAlignment="1">
      <alignment horizontal="right" wrapText="1"/>
    </xf>
    <xf numFmtId="49" fontId="5" fillId="5" borderId="18" xfId="7" applyNumberFormat="1" applyFont="1" applyFill="1" applyBorder="1" applyAlignment="1">
      <alignment horizontal="center"/>
    </xf>
    <xf numFmtId="49" fontId="5" fillId="5" borderId="0" xfId="11" applyNumberFormat="1" applyFont="1" applyFill="1" applyBorder="1" applyAlignment="1">
      <alignment horizontal="center"/>
    </xf>
    <xf numFmtId="49" fontId="5" fillId="17" borderId="0" xfId="15" applyNumberFormat="1" applyFont="1" applyFill="1" applyBorder="1" applyAlignment="1" applyProtection="1">
      <alignment horizontal="center"/>
    </xf>
    <xf numFmtId="49" fontId="5" fillId="10" borderId="0" xfId="8" applyNumberFormat="1" applyFont="1" applyFill="1" applyBorder="1" applyAlignment="1">
      <alignment horizontal="center"/>
    </xf>
    <xf numFmtId="49" fontId="5" fillId="10" borderId="0" xfId="8" applyNumberFormat="1" applyFont="1" applyFill="1" applyBorder="1" applyAlignment="1">
      <alignment horizontal="left"/>
    </xf>
    <xf numFmtId="49" fontId="5" fillId="10" borderId="0" xfId="11" applyNumberFormat="1" applyFont="1" applyFill="1" applyBorder="1" applyAlignment="1">
      <alignment horizontal="center"/>
    </xf>
    <xf numFmtId="49" fontId="5" fillId="6" borderId="23" xfId="7" applyNumberFormat="1" applyFont="1" applyFill="1" applyBorder="1" applyAlignment="1">
      <alignment horizontal="center"/>
    </xf>
    <xf numFmtId="49" fontId="5" fillId="6" borderId="0" xfId="7" applyNumberFormat="1" applyFont="1" applyFill="1" applyBorder="1" applyAlignment="1">
      <alignment horizontal="center"/>
    </xf>
    <xf numFmtId="3" fontId="5" fillId="0" borderId="15" xfId="0" applyNumberFormat="1" applyFont="1" applyBorder="1"/>
    <xf numFmtId="49" fontId="5" fillId="3" borderId="23" xfId="7" applyNumberFormat="1" applyFont="1" applyFill="1" applyBorder="1" applyAlignment="1">
      <alignment horizontal="center"/>
    </xf>
    <xf numFmtId="49" fontId="5" fillId="3" borderId="0" xfId="11" applyNumberFormat="1" applyFont="1" applyFill="1" applyBorder="1" applyAlignment="1">
      <alignment horizontal="left"/>
    </xf>
    <xf numFmtId="49" fontId="5" fillId="2" borderId="0" xfId="14" applyNumberFormat="1" applyFont="1" applyFill="1" applyBorder="1" applyAlignment="1" applyProtection="1">
      <alignment horizontal="left"/>
    </xf>
    <xf numFmtId="49" fontId="5" fillId="2" borderId="0" xfId="11" applyNumberFormat="1" applyFont="1" applyFill="1" applyBorder="1" applyAlignment="1">
      <alignment horizontal="left"/>
    </xf>
    <xf numFmtId="49" fontId="5" fillId="2" borderId="0" xfId="11" applyNumberFormat="1" applyFont="1" applyFill="1" applyBorder="1" applyAlignment="1">
      <alignment horizontal="center"/>
    </xf>
    <xf numFmtId="49" fontId="5" fillId="18" borderId="0" xfId="15" applyNumberFormat="1" applyFont="1" applyFill="1" applyBorder="1" applyAlignment="1" applyProtection="1">
      <alignment horizontal="center"/>
    </xf>
    <xf numFmtId="49" fontId="5" fillId="13" borderId="0" xfId="11" applyNumberFormat="1" applyFont="1" applyFill="1" applyBorder="1" applyAlignment="1">
      <alignment horizontal="center"/>
    </xf>
    <xf numFmtId="49" fontId="1" fillId="5" borderId="0" xfId="8" applyNumberFormat="1" applyFont="1" applyFill="1" applyBorder="1" applyAlignment="1">
      <alignment horizontal="center"/>
    </xf>
    <xf numFmtId="49" fontId="1" fillId="5" borderId="0" xfId="8" applyNumberFormat="1" applyFont="1" applyFill="1" applyBorder="1" applyAlignment="1">
      <alignment horizontal="left"/>
    </xf>
    <xf numFmtId="3" fontId="1" fillId="4" borderId="14" xfId="1" applyNumberFormat="1" applyFont="1" applyFill="1" applyBorder="1" applyAlignment="1"/>
    <xf numFmtId="3" fontId="36" fillId="0" borderId="0" xfId="4" applyNumberFormat="1" applyFont="1" applyFill="1" applyBorder="1" applyAlignment="1">
      <alignment horizontal="right"/>
    </xf>
    <xf numFmtId="3" fontId="1" fillId="4" borderId="15" xfId="1" applyNumberFormat="1" applyFont="1" applyFill="1" applyBorder="1" applyAlignment="1"/>
    <xf numFmtId="3" fontId="36" fillId="0" borderId="15" xfId="4" applyNumberFormat="1" applyFont="1" applyFill="1" applyBorder="1" applyAlignment="1">
      <alignment horizontal="right"/>
    </xf>
    <xf numFmtId="3" fontId="36" fillId="0" borderId="18" xfId="4" applyNumberFormat="1" applyFont="1" applyFill="1" applyBorder="1" applyAlignment="1">
      <alignment horizontal="right"/>
    </xf>
    <xf numFmtId="49" fontId="5" fillId="10" borderId="23" xfId="7" applyNumberFormat="1" applyFont="1" applyFill="1" applyBorder="1" applyAlignment="1">
      <alignment horizontal="center"/>
    </xf>
    <xf numFmtId="49" fontId="1" fillId="5" borderId="23" xfId="7" applyNumberFormat="1" applyFont="1" applyFill="1" applyBorder="1" applyAlignment="1">
      <alignment horizontal="center"/>
    </xf>
    <xf numFmtId="3" fontId="43" fillId="0" borderId="0" xfId="13" applyNumberFormat="1" applyFont="1" applyFill="1" applyBorder="1" applyAlignment="1">
      <alignment horizontal="right" wrapText="1"/>
    </xf>
    <xf numFmtId="3" fontId="32" fillId="0" borderId="24" xfId="4" applyNumberFormat="1" applyFont="1" applyFill="1" applyBorder="1" applyAlignment="1">
      <alignment horizontal="right"/>
    </xf>
    <xf numFmtId="3" fontId="43" fillId="0" borderId="15" xfId="13" applyNumberFormat="1" applyFont="1" applyFill="1" applyBorder="1" applyAlignment="1">
      <alignment horizontal="right" wrapText="1"/>
    </xf>
    <xf numFmtId="3" fontId="43" fillId="0" borderId="18" xfId="13" applyNumberFormat="1" applyFont="1" applyFill="1" applyBorder="1" applyAlignment="1">
      <alignment horizontal="right" wrapText="1"/>
    </xf>
    <xf numFmtId="0" fontId="5" fillId="5" borderId="0" xfId="12" applyNumberFormat="1" applyFont="1" applyFill="1" applyBorder="1" applyAlignment="1"/>
    <xf numFmtId="49" fontId="1" fillId="20" borderId="0" xfId="8" applyNumberFormat="1" applyFont="1" applyFill="1" applyBorder="1" applyAlignment="1">
      <alignment horizontal="center"/>
    </xf>
    <xf numFmtId="49" fontId="1" fillId="20" borderId="0" xfId="8" applyNumberFormat="1" applyFont="1" applyFill="1" applyBorder="1" applyAlignment="1">
      <alignment horizontal="left"/>
    </xf>
    <xf numFmtId="49" fontId="1" fillId="20" borderId="0" xfId="7" applyNumberFormat="1" applyFont="1" applyFill="1" applyBorder="1" applyAlignment="1">
      <alignment horizontal="center"/>
    </xf>
    <xf numFmtId="49" fontId="1" fillId="20" borderId="0" xfId="11" applyNumberFormat="1" applyFont="1" applyFill="1" applyBorder="1" applyAlignment="1">
      <alignment horizontal="left"/>
    </xf>
    <xf numFmtId="49" fontId="5" fillId="5" borderId="23" xfId="7" applyNumberFormat="1" applyFont="1" applyFill="1" applyBorder="1" applyAlignment="1">
      <alignment horizontal="center"/>
    </xf>
    <xf numFmtId="49" fontId="1" fillId="20" borderId="18" xfId="7" applyNumberFormat="1" applyFont="1" applyFill="1" applyBorder="1" applyAlignment="1">
      <alignment horizontal="center"/>
    </xf>
    <xf numFmtId="0" fontId="29" fillId="2" borderId="0" xfId="7" applyNumberFormat="1" applyFont="1" applyFill="1" applyBorder="1" applyAlignment="1">
      <alignment horizontal="center"/>
    </xf>
    <xf numFmtId="49" fontId="1" fillId="7" borderId="0" xfId="11" applyNumberFormat="1" applyFont="1" applyFill="1" applyBorder="1" applyAlignment="1" applyProtection="1">
      <alignment horizontal="left"/>
    </xf>
    <xf numFmtId="0" fontId="1" fillId="0" borderId="4" xfId="0" applyFont="1" applyFill="1" applyBorder="1"/>
    <xf numFmtId="0" fontId="1" fillId="0" borderId="20" xfId="0" applyFont="1" applyFill="1" applyBorder="1"/>
    <xf numFmtId="9" fontId="1" fillId="0" borderId="20" xfId="0" applyNumberFormat="1" applyFont="1" applyFill="1" applyBorder="1"/>
    <xf numFmtId="9" fontId="1" fillId="0" borderId="26" xfId="0" applyNumberFormat="1" applyFont="1" applyFill="1" applyBorder="1"/>
    <xf numFmtId="0" fontId="0" fillId="0" borderId="27" xfId="0" applyFill="1" applyBorder="1"/>
    <xf numFmtId="0" fontId="0" fillId="0" borderId="28" xfId="0" applyFill="1" applyBorder="1"/>
    <xf numFmtId="0" fontId="12" fillId="0" borderId="4" xfId="0" applyFont="1" applyFill="1" applyBorder="1"/>
    <xf numFmtId="0" fontId="12" fillId="0" borderId="2" xfId="0" applyFont="1" applyFill="1" applyBorder="1"/>
    <xf numFmtId="0" fontId="12" fillId="0" borderId="21" xfId="0" applyFont="1" applyFill="1" applyBorder="1"/>
    <xf numFmtId="0" fontId="12" fillId="0" borderId="34" xfId="0" applyFont="1" applyFill="1" applyBorder="1"/>
    <xf numFmtId="0" fontId="12" fillId="0" borderId="30" xfId="0" applyFont="1" applyFill="1" applyBorder="1"/>
    <xf numFmtId="167" fontId="0" fillId="0" borderId="4" xfId="0" applyNumberFormat="1" applyFill="1" applyBorder="1"/>
    <xf numFmtId="167" fontId="0" fillId="0" borderId="8" xfId="0" applyNumberFormat="1" applyFill="1" applyBorder="1"/>
    <xf numFmtId="167" fontId="0" fillId="0" borderId="27" xfId="0" applyNumberFormat="1" applyFill="1" applyBorder="1"/>
    <xf numFmtId="167" fontId="0" fillId="0" borderId="29" xfId="0" applyNumberFormat="1" applyFill="1" applyBorder="1"/>
    <xf numFmtId="167" fontId="0" fillId="0" borderId="0" xfId="0" applyNumberFormat="1" applyFill="1"/>
    <xf numFmtId="167" fontId="19" fillId="0" borderId="27" xfId="0" applyNumberFormat="1" applyFont="1" applyFill="1" applyBorder="1"/>
    <xf numFmtId="167" fontId="20" fillId="0" borderId="0" xfId="0" applyNumberFormat="1" applyFont="1" applyFill="1"/>
    <xf numFmtId="167" fontId="20" fillId="0" borderId="29" xfId="0" applyNumberFormat="1" applyFont="1" applyFill="1" applyBorder="1"/>
    <xf numFmtId="167" fontId="23" fillId="0" borderId="0" xfId="0" applyNumberFormat="1" applyFont="1" applyFill="1"/>
    <xf numFmtId="167" fontId="23" fillId="0" borderId="29" xfId="0" applyNumberFormat="1" applyFont="1" applyFill="1" applyBorder="1"/>
    <xf numFmtId="167" fontId="24" fillId="0" borderId="0" xfId="0" applyNumberFormat="1" applyFont="1" applyFill="1"/>
    <xf numFmtId="167" fontId="24" fillId="0" borderId="29" xfId="0" applyNumberFormat="1" applyFont="1" applyFill="1" applyBorder="1"/>
    <xf numFmtId="167" fontId="44" fillId="0" borderId="5" xfId="0" applyNumberFormat="1" applyFont="1" applyFill="1" applyBorder="1"/>
    <xf numFmtId="167" fontId="44" fillId="0" borderId="0" xfId="0" applyNumberFormat="1" applyFont="1" applyFill="1"/>
    <xf numFmtId="167" fontId="12" fillId="0" borderId="4" xfId="0" applyNumberFormat="1" applyFont="1" applyFill="1" applyBorder="1"/>
    <xf numFmtId="167" fontId="12" fillId="0" borderId="8" xfId="0" applyNumberFormat="1" applyFont="1" applyFill="1" applyBorder="1"/>
    <xf numFmtId="167" fontId="45" fillId="0" borderId="4" xfId="0" applyNumberFormat="1" applyFont="1" applyFill="1" applyBorder="1"/>
    <xf numFmtId="167" fontId="12" fillId="0" borderId="27" xfId="0" applyNumberFormat="1" applyFont="1" applyFill="1" applyBorder="1"/>
    <xf numFmtId="167" fontId="12" fillId="0" borderId="5" xfId="0" applyNumberFormat="1" applyFont="1" applyFill="1" applyBorder="1"/>
    <xf numFmtId="167" fontId="12" fillId="0" borderId="0" xfId="0" applyNumberFormat="1" applyFont="1" applyFill="1" applyBorder="1"/>
    <xf numFmtId="167" fontId="46" fillId="0" borderId="5" xfId="0" applyNumberFormat="1" applyFont="1" applyFill="1" applyBorder="1"/>
    <xf numFmtId="167" fontId="12" fillId="0" borderId="29" xfId="0" applyNumberFormat="1" applyFont="1" applyFill="1" applyBorder="1"/>
    <xf numFmtId="167" fontId="47" fillId="0" borderId="5" xfId="0" applyNumberFormat="1" applyFont="1" applyFill="1" applyBorder="1"/>
    <xf numFmtId="167" fontId="48" fillId="0" borderId="5" xfId="0" applyNumberFormat="1" applyFont="1" applyFill="1" applyBorder="1"/>
    <xf numFmtId="167" fontId="49" fillId="0" borderId="5" xfId="0" applyNumberFormat="1" applyFont="1" applyFill="1" applyBorder="1"/>
    <xf numFmtId="167" fontId="50" fillId="0" borderId="5" xfId="0" applyNumberFormat="1" applyFont="1" applyFill="1" applyBorder="1"/>
    <xf numFmtId="167" fontId="51" fillId="0" borderId="5" xfId="0" applyNumberFormat="1" applyFont="1" applyFill="1" applyBorder="1"/>
    <xf numFmtId="167" fontId="12" fillId="0" borderId="21" xfId="0" applyNumberFormat="1" applyFont="1" applyFill="1" applyBorder="1"/>
    <xf numFmtId="167" fontId="12" fillId="0" borderId="3" xfId="0" applyNumberFormat="1" applyFont="1" applyFill="1" applyBorder="1"/>
    <xf numFmtId="0" fontId="12" fillId="0" borderId="5" xfId="0" applyFont="1" applyFill="1" applyBorder="1"/>
    <xf numFmtId="0" fontId="47" fillId="0" borderId="5" xfId="0" applyFont="1" applyFill="1" applyBorder="1"/>
    <xf numFmtId="167" fontId="12" fillId="0" borderId="0" xfId="0" applyNumberFormat="1" applyFont="1" applyFill="1"/>
    <xf numFmtId="167" fontId="12" fillId="0" borderId="31" xfId="0" applyNumberFormat="1" applyFont="1" applyFill="1" applyBorder="1"/>
    <xf numFmtId="167" fontId="12" fillId="0" borderId="32" xfId="0" applyNumberFormat="1" applyFont="1" applyFill="1" applyBorder="1"/>
    <xf numFmtId="167" fontId="12" fillId="0" borderId="33" xfId="0" applyNumberFormat="1" applyFont="1" applyFill="1" applyBorder="1"/>
    <xf numFmtId="0" fontId="12" fillId="0" borderId="31" xfId="0" applyFont="1" applyFill="1" applyBorder="1"/>
    <xf numFmtId="167" fontId="45" fillId="0" borderId="27" xfId="0" applyNumberFormat="1" applyFont="1" applyFill="1" applyBorder="1"/>
    <xf numFmtId="167" fontId="45" fillId="0" borderId="29" xfId="0" applyNumberFormat="1" applyFont="1" applyFill="1" applyBorder="1"/>
    <xf numFmtId="167" fontId="45" fillId="0" borderId="35" xfId="0" applyNumberFormat="1" applyFont="1" applyFill="1" applyBorder="1"/>
    <xf numFmtId="167" fontId="12" fillId="0" borderId="25" xfId="0" applyNumberFormat="1" applyFont="1" applyFill="1" applyBorder="1"/>
    <xf numFmtId="167" fontId="12" fillId="0" borderId="14" xfId="0" applyNumberFormat="1" applyFont="1" applyFill="1" applyBorder="1"/>
    <xf numFmtId="167" fontId="12" fillId="0" borderId="13" xfId="0" applyNumberFormat="1" applyFont="1" applyFill="1" applyBorder="1"/>
    <xf numFmtId="3" fontId="32" fillId="21" borderId="0" xfId="4" applyNumberFormat="1" applyFont="1" applyFill="1" applyBorder="1" applyAlignment="1">
      <alignment horizontal="right"/>
    </xf>
    <xf numFmtId="49" fontId="12" fillId="9" borderId="0" xfId="10" applyNumberFormat="1" applyFont="1" applyFill="1" applyBorder="1" applyAlignment="1">
      <alignment horizontal="left"/>
    </xf>
    <xf numFmtId="0" fontId="0" fillId="0" borderId="2" xfId="0" applyBorder="1"/>
    <xf numFmtId="165" fontId="0" fillId="0" borderId="4" xfId="0" applyNumberFormat="1" applyBorder="1"/>
    <xf numFmtId="165" fontId="0" fillId="0" borderId="8" xfId="0" applyNumberFormat="1" applyBorder="1"/>
    <xf numFmtId="165" fontId="0" fillId="0" borderId="27" xfId="0" applyNumberFormat="1" applyBorder="1"/>
    <xf numFmtId="165" fontId="0" fillId="0" borderId="25" xfId="0" applyNumberFormat="1" applyBorder="1"/>
    <xf numFmtId="170" fontId="0" fillId="0" borderId="4" xfId="0" applyNumberFormat="1" applyBorder="1"/>
    <xf numFmtId="170" fontId="0" fillId="0" borderId="8" xfId="0" applyNumberFormat="1" applyBorder="1"/>
    <xf numFmtId="170" fontId="0" fillId="0" borderId="27" xfId="0" applyNumberFormat="1" applyBorder="1"/>
    <xf numFmtId="170" fontId="0" fillId="0" borderId="36" xfId="0" applyNumberFormat="1" applyBorder="1"/>
    <xf numFmtId="170" fontId="0" fillId="0" borderId="37" xfId="0" applyNumberFormat="1" applyBorder="1"/>
    <xf numFmtId="170" fontId="0" fillId="0" borderId="38" xfId="0" applyNumberFormat="1" applyBorder="1"/>
    <xf numFmtId="170" fontId="0" fillId="0" borderId="39" xfId="0" applyNumberFormat="1" applyBorder="1"/>
    <xf numFmtId="170" fontId="0" fillId="0" borderId="25" xfId="0" applyNumberFormat="1" applyBorder="1"/>
    <xf numFmtId="170" fontId="0" fillId="0" borderId="40" xfId="0" applyNumberFormat="1" applyBorder="1"/>
    <xf numFmtId="0" fontId="0" fillId="0" borderId="41" xfId="0" applyBorder="1"/>
    <xf numFmtId="0" fontId="1" fillId="0" borderId="0" xfId="0" applyFont="1"/>
    <xf numFmtId="0" fontId="12" fillId="0" borderId="4" xfId="0" applyFont="1" applyBorder="1"/>
    <xf numFmtId="0" fontId="12" fillId="0" borderId="2" xfId="0" applyFont="1" applyBorder="1"/>
    <xf numFmtId="0" fontId="12" fillId="0" borderId="5" xfId="0" applyFont="1" applyBorder="1" applyAlignment="1">
      <alignment horizontal="right"/>
    </xf>
    <xf numFmtId="0" fontId="12" fillId="0" borderId="21" xfId="0" applyFont="1" applyBorder="1" applyAlignment="1">
      <alignment horizontal="right"/>
    </xf>
    <xf numFmtId="170" fontId="12" fillId="0" borderId="8" xfId="0" applyNumberFormat="1" applyFont="1" applyBorder="1"/>
    <xf numFmtId="0" fontId="0" fillId="0" borderId="43" xfId="0" applyBorder="1"/>
    <xf numFmtId="0" fontId="1" fillId="0" borderId="47" xfId="0" applyFont="1" applyBorder="1"/>
    <xf numFmtId="0" fontId="1" fillId="0" borderId="48" xfId="0" applyFont="1" applyBorder="1"/>
    <xf numFmtId="0" fontId="0" fillId="0" borderId="47" xfId="0" applyBorder="1"/>
    <xf numFmtId="0" fontId="0" fillId="0" borderId="7" xfId="0" applyBorder="1"/>
    <xf numFmtId="0" fontId="0" fillId="0" borderId="48" xfId="0" applyBorder="1"/>
    <xf numFmtId="0" fontId="0" fillId="0" borderId="10" xfId="0" applyBorder="1"/>
    <xf numFmtId="0" fontId="0" fillId="0" borderId="46" xfId="0" applyBorder="1"/>
    <xf numFmtId="49" fontId="1" fillId="2" borderId="0" xfId="8" applyNumberFormat="1" applyFont="1" applyFill="1" applyBorder="1" applyAlignment="1">
      <alignment horizontal="center"/>
    </xf>
    <xf numFmtId="49" fontId="1" fillId="2" borderId="0" xfId="8" applyNumberFormat="1" applyFont="1" applyFill="1" applyBorder="1" applyAlignment="1">
      <alignment horizontal="left"/>
    </xf>
    <xf numFmtId="49" fontId="1" fillId="2" borderId="0" xfId="7" applyNumberFormat="1" applyFont="1" applyFill="1" applyBorder="1" applyAlignment="1">
      <alignment horizontal="center"/>
    </xf>
    <xf numFmtId="49" fontId="5" fillId="11" borderId="18" xfId="15" applyNumberFormat="1" applyFont="1" applyFill="1" applyBorder="1" applyAlignment="1" applyProtection="1">
      <alignment horizontal="center"/>
    </xf>
    <xf numFmtId="49" fontId="5" fillId="11" borderId="23" xfId="15" applyNumberFormat="1" applyFont="1" applyFill="1" applyBorder="1" applyAlignment="1" applyProtection="1">
      <alignment horizontal="center"/>
    </xf>
    <xf numFmtId="49" fontId="1" fillId="2" borderId="18" xfId="7" applyNumberFormat="1" applyFont="1" applyFill="1" applyBorder="1" applyAlignment="1">
      <alignment horizontal="center"/>
    </xf>
    <xf numFmtId="1" fontId="29" fillId="12" borderId="0" xfId="15" applyNumberFormat="1" applyFont="1" applyFill="1" applyBorder="1" applyAlignment="1" applyProtection="1">
      <alignment horizontal="center"/>
    </xf>
    <xf numFmtId="1" fontId="29" fillId="15" borderId="23" xfId="15" applyNumberFormat="1" applyFont="1" applyFill="1" applyBorder="1" applyAlignment="1" applyProtection="1">
      <alignment horizontal="center"/>
    </xf>
    <xf numFmtId="0" fontId="1" fillId="0" borderId="4" xfId="0" applyFont="1" applyBorder="1"/>
    <xf numFmtId="167" fontId="5" fillId="0" borderId="0" xfId="1" applyNumberFormat="1" applyFont="1" applyBorder="1"/>
    <xf numFmtId="3" fontId="5" fillId="22" borderId="15" xfId="1" applyNumberFormat="1" applyFont="1" applyFill="1" applyBorder="1" applyAlignment="1"/>
    <xf numFmtId="0" fontId="12" fillId="0" borderId="34" xfId="0" applyFont="1" applyBorder="1"/>
    <xf numFmtId="0" fontId="1" fillId="0" borderId="20" xfId="0" applyFont="1" applyBorder="1"/>
    <xf numFmtId="9" fontId="1" fillId="0" borderId="20" xfId="0" applyNumberFormat="1" applyFont="1" applyBorder="1"/>
    <xf numFmtId="0" fontId="12" fillId="0" borderId="5" xfId="0" applyFont="1" applyBorder="1"/>
    <xf numFmtId="165" fontId="0" fillId="0" borderId="5" xfId="0" applyNumberFormat="1" applyBorder="1"/>
    <xf numFmtId="165" fontId="0" fillId="0" borderId="0" xfId="0" applyNumberFormat="1"/>
    <xf numFmtId="165" fontId="0" fillId="0" borderId="0" xfId="0" applyNumberFormat="1" applyBorder="1"/>
    <xf numFmtId="165" fontId="0" fillId="0" borderId="14" xfId="0" applyNumberFormat="1" applyBorder="1"/>
    <xf numFmtId="166" fontId="12" fillId="0" borderId="5" xfId="0" applyNumberFormat="1" applyFont="1" applyBorder="1"/>
    <xf numFmtId="166" fontId="12" fillId="0" borderId="0" xfId="0" applyNumberFormat="1" applyFont="1"/>
    <xf numFmtId="166" fontId="12" fillId="0" borderId="0" xfId="0" applyNumberFormat="1" applyFont="1" applyBorder="1"/>
    <xf numFmtId="9" fontId="1" fillId="0" borderId="8" xfId="0" applyNumberFormat="1" applyFont="1" applyBorder="1"/>
    <xf numFmtId="166" fontId="12" fillId="0" borderId="14" xfId="0" applyNumberFormat="1" applyFont="1" applyBorder="1"/>
    <xf numFmtId="165" fontId="0" fillId="0" borderId="44" xfId="0" applyNumberFormat="1" applyBorder="1"/>
    <xf numFmtId="165" fontId="0" fillId="0" borderId="42" xfId="0" applyNumberFormat="1" applyBorder="1"/>
    <xf numFmtId="166" fontId="12" fillId="0" borderId="44" xfId="0" applyNumberFormat="1" applyFont="1" applyBorder="1"/>
    <xf numFmtId="9" fontId="1" fillId="0" borderId="50" xfId="0" applyNumberFormat="1" applyFont="1" applyBorder="1"/>
    <xf numFmtId="3" fontId="32" fillId="23" borderId="0" xfId="4" applyNumberFormat="1" applyFont="1" applyFill="1" applyBorder="1" applyAlignment="1">
      <alignment horizontal="right"/>
    </xf>
    <xf numFmtId="3" fontId="32" fillId="23" borderId="15" xfId="4" applyNumberFormat="1" applyFont="1" applyFill="1" applyBorder="1" applyAlignment="1">
      <alignment horizontal="right"/>
    </xf>
    <xf numFmtId="164" fontId="0" fillId="0" borderId="0" xfId="1" applyNumberFormat="1" applyFont="1"/>
    <xf numFmtId="3" fontId="32" fillId="24" borderId="0" xfId="4" applyNumberFormat="1" applyFont="1" applyFill="1" applyBorder="1" applyAlignment="1">
      <alignment horizontal="right"/>
    </xf>
    <xf numFmtId="3" fontId="32" fillId="24" borderId="15" xfId="4" applyNumberFormat="1" applyFont="1" applyFill="1" applyBorder="1" applyAlignment="1">
      <alignment horizontal="right"/>
    </xf>
    <xf numFmtId="0" fontId="0" fillId="0" borderId="27" xfId="0" applyBorder="1"/>
    <xf numFmtId="0" fontId="0" fillId="0" borderId="28" xfId="0" applyBorder="1"/>
    <xf numFmtId="9" fontId="1" fillId="0" borderId="26" xfId="0" applyNumberFormat="1" applyFont="1" applyBorder="1"/>
    <xf numFmtId="165" fontId="0" fillId="0" borderId="29" xfId="0" applyNumberFormat="1" applyBorder="1"/>
    <xf numFmtId="166" fontId="12" fillId="0" borderId="29" xfId="0" applyNumberFormat="1" applyFont="1" applyBorder="1"/>
    <xf numFmtId="166" fontId="12" fillId="0" borderId="16" xfId="0" applyNumberFormat="1" applyFont="1" applyBorder="1"/>
    <xf numFmtId="166" fontId="12" fillId="0" borderId="19" xfId="0" applyNumberFormat="1" applyFont="1" applyBorder="1"/>
    <xf numFmtId="166" fontId="12" fillId="0" borderId="13" xfId="0" applyNumberFormat="1" applyFont="1" applyBorder="1"/>
    <xf numFmtId="166" fontId="12" fillId="0" borderId="4" xfId="0" applyNumberFormat="1" applyFont="1" applyBorder="1"/>
    <xf numFmtId="166" fontId="12" fillId="0" borderId="8" xfId="0" applyNumberFormat="1" applyFont="1" applyBorder="1"/>
    <xf numFmtId="166" fontId="12" fillId="0" borderId="25" xfId="0" applyNumberFormat="1" applyFont="1" applyBorder="1"/>
    <xf numFmtId="166" fontId="12" fillId="0" borderId="27" xfId="0" applyNumberFormat="1" applyFont="1" applyBorder="1"/>
    <xf numFmtId="165" fontId="1" fillId="0" borderId="4" xfId="0" applyNumberFormat="1" applyFont="1" applyBorder="1"/>
    <xf numFmtId="165" fontId="1" fillId="0" borderId="8" xfId="0" applyNumberFormat="1" applyFont="1" applyBorder="1"/>
    <xf numFmtId="165" fontId="1" fillId="0" borderId="49" xfId="0" applyNumberFormat="1" applyFont="1" applyBorder="1"/>
    <xf numFmtId="165" fontId="1" fillId="0" borderId="25" xfId="0" applyNumberFormat="1" applyFont="1" applyBorder="1"/>
    <xf numFmtId="165" fontId="1" fillId="0" borderId="17" xfId="0" applyNumberFormat="1" applyFont="1" applyBorder="1"/>
    <xf numFmtId="165" fontId="1" fillId="0" borderId="42" xfId="0" applyNumberFormat="1" applyFont="1" applyBorder="1"/>
    <xf numFmtId="165" fontId="1" fillId="0" borderId="27" xfId="0" applyNumberFormat="1" applyFont="1" applyBorder="1"/>
    <xf numFmtId="165" fontId="1" fillId="0" borderId="5" xfId="0" applyNumberFormat="1" applyFont="1" applyBorder="1"/>
    <xf numFmtId="165" fontId="1" fillId="0" borderId="0" xfId="0" applyNumberFormat="1" applyFont="1" applyBorder="1"/>
    <xf numFmtId="165" fontId="1" fillId="0" borderId="15" xfId="0" applyNumberFormat="1" applyFont="1" applyBorder="1"/>
    <xf numFmtId="165" fontId="1" fillId="0" borderId="14" xfId="0" applyNumberFormat="1" applyFont="1" applyBorder="1"/>
    <xf numFmtId="165" fontId="1" fillId="0" borderId="0" xfId="0" applyNumberFormat="1" applyFont="1"/>
    <xf numFmtId="165" fontId="1" fillId="0" borderId="18" xfId="0" applyNumberFormat="1" applyFont="1" applyBorder="1"/>
    <xf numFmtId="165" fontId="1" fillId="0" borderId="44" xfId="0" applyNumberFormat="1" applyFont="1" applyBorder="1"/>
    <xf numFmtId="165" fontId="1" fillId="0" borderId="29" xfId="0" applyNumberFormat="1" applyFont="1" applyBorder="1"/>
    <xf numFmtId="166" fontId="12" fillId="0" borderId="21" xfId="0" applyNumberFormat="1" applyFont="1" applyBorder="1"/>
    <xf numFmtId="166" fontId="12" fillId="0" borderId="3" xfId="0" applyNumberFormat="1" applyFont="1" applyBorder="1"/>
    <xf numFmtId="166" fontId="12" fillId="0" borderId="45" xfId="0" applyNumberFormat="1" applyFont="1" applyBorder="1"/>
    <xf numFmtId="166" fontId="12" fillId="0" borderId="35" xfId="0" applyNumberFormat="1" applyFont="1" applyBorder="1"/>
    <xf numFmtId="0" fontId="0" fillId="0" borderId="0" xfId="0" applyAlignment="1">
      <alignment vertical="top" wrapText="1"/>
    </xf>
    <xf numFmtId="0" fontId="12" fillId="0" borderId="0" xfId="0" applyFont="1" applyBorder="1" applyAlignment="1">
      <alignment horizontal="center"/>
    </xf>
    <xf numFmtId="0" fontId="12" fillId="0" borderId="6" xfId="0" applyFont="1" applyBorder="1" applyAlignment="1">
      <alignment horizontal="center"/>
    </xf>
    <xf numFmtId="37" fontId="8" fillId="0" borderId="0" xfId="0" applyNumberFormat="1" applyFont="1" applyAlignment="1" applyProtection="1">
      <alignment horizontal="center"/>
    </xf>
    <xf numFmtId="0" fontId="18" fillId="0" borderId="0" xfId="0" applyFont="1" applyFill="1" applyBorder="1" applyAlignment="1">
      <alignment wrapText="1"/>
    </xf>
    <xf numFmtId="0" fontId="0" fillId="0" borderId="0" xfId="0" applyAlignment="1">
      <alignment wrapText="1"/>
    </xf>
    <xf numFmtId="49" fontId="1" fillId="3" borderId="0" xfId="7" applyNumberFormat="1" applyFont="1" applyFill="1" applyBorder="1" applyAlignment="1">
      <alignment horizontal="center"/>
    </xf>
    <xf numFmtId="49" fontId="1" fillId="3" borderId="0" xfId="7" applyNumberFormat="1" applyFont="1" applyFill="1" applyBorder="1" applyAlignment="1">
      <alignment horizontal="left"/>
    </xf>
    <xf numFmtId="1" fontId="1" fillId="3" borderId="0" xfId="7" applyNumberFormat="1" applyFont="1" applyFill="1" applyBorder="1" applyAlignment="1">
      <alignment horizontal="center"/>
    </xf>
    <xf numFmtId="49" fontId="1" fillId="4" borderId="0" xfId="7" applyNumberFormat="1" applyFont="1" applyFill="1" applyBorder="1" applyAlignment="1">
      <alignment horizontal="left"/>
    </xf>
    <xf numFmtId="49" fontId="1" fillId="4" borderId="0" xfId="7" applyNumberFormat="1" applyFont="1" applyFill="1" applyBorder="1" applyAlignment="1">
      <alignment horizontal="center"/>
    </xf>
    <xf numFmtId="1" fontId="1" fillId="4" borderId="0" xfId="7" applyNumberFormat="1" applyFont="1" applyFill="1"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49" fontId="2" fillId="0" borderId="0" xfId="0" quotePrefix="1" applyNumberFormat="1" applyFont="1" applyFill="1" applyAlignment="1">
      <alignment horizontal="right"/>
    </xf>
    <xf numFmtId="0" fontId="18" fillId="0" borderId="0" xfId="0" applyFont="1" applyFill="1" applyBorder="1" applyAlignment="1">
      <alignment vertical="top"/>
    </xf>
    <xf numFmtId="0" fontId="0" fillId="0" borderId="0" xfId="0" applyBorder="1" applyAlignment="1">
      <alignment vertical="top"/>
    </xf>
    <xf numFmtId="2" fontId="5" fillId="2" borderId="14" xfId="0" applyNumberFormat="1" applyFont="1" applyFill="1" applyBorder="1" applyAlignment="1">
      <alignment horizontal="right"/>
    </xf>
    <xf numFmtId="2" fontId="5" fillId="2" borderId="0" xfId="0" applyNumberFormat="1" applyFont="1" applyFill="1" applyBorder="1" applyAlignment="1">
      <alignment horizontal="right"/>
    </xf>
    <xf numFmtId="0" fontId="52" fillId="0" borderId="0" xfId="0" applyFont="1" applyFill="1"/>
    <xf numFmtId="3" fontId="52" fillId="0" borderId="0" xfId="0" applyNumberFormat="1" applyFont="1" applyFill="1"/>
    <xf numFmtId="3" fontId="32" fillId="7" borderId="9" xfId="10" applyNumberFormat="1" applyFont="1" applyFill="1" applyBorder="1" applyAlignment="1">
      <alignment horizontal="centerContinuous"/>
    </xf>
    <xf numFmtId="3" fontId="33" fillId="7" borderId="11" xfId="10" applyNumberFormat="1" applyFont="1" applyFill="1" applyBorder="1" applyAlignment="1">
      <alignment horizontal="centerContinuous"/>
    </xf>
    <xf numFmtId="169" fontId="5" fillId="0" borderId="3" xfId="16" applyNumberFormat="1" applyFont="1" applyFill="1" applyBorder="1" applyAlignment="1">
      <alignment horizontal="right"/>
    </xf>
    <xf numFmtId="169" fontId="5" fillId="0" borderId="18" xfId="16" applyNumberFormat="1" applyFont="1" applyFill="1" applyBorder="1" applyAlignment="1">
      <alignment horizontal="right"/>
    </xf>
    <xf numFmtId="2" fontId="5" fillId="0" borderId="19" xfId="16" applyNumberFormat="1" applyFont="1" applyFill="1" applyBorder="1" applyAlignment="1">
      <alignment horizontal="right"/>
    </xf>
    <xf numFmtId="2" fontId="5" fillId="0" borderId="17" xfId="16" applyNumberFormat="1" applyFont="1" applyFill="1" applyBorder="1" applyAlignment="1">
      <alignment horizontal="right"/>
    </xf>
    <xf numFmtId="169" fontId="5" fillId="0" borderId="17" xfId="16" applyNumberFormat="1" applyFont="1" applyFill="1" applyBorder="1" applyAlignment="1">
      <alignment horizontal="right"/>
    </xf>
    <xf numFmtId="0" fontId="1" fillId="0" borderId="0" xfId="0" applyFont="1" applyFill="1" applyBorder="1"/>
    <xf numFmtId="166" fontId="5" fillId="2" borderId="0" xfId="0" applyNumberFormat="1" applyFont="1" applyFill="1" applyAlignment="1">
      <alignment horizontal="right"/>
    </xf>
    <xf numFmtId="0" fontId="18" fillId="0" borderId="7" xfId="0" applyFont="1" applyFill="1" applyBorder="1" applyAlignment="1">
      <alignment vertical="top" wrapText="1"/>
    </xf>
    <xf numFmtId="0" fontId="0" fillId="0" borderId="7" xfId="0" applyBorder="1" applyAlignment="1">
      <alignment vertical="top" wrapText="1"/>
    </xf>
    <xf numFmtId="0" fontId="12" fillId="0" borderId="6" xfId="0" applyFont="1" applyBorder="1" applyAlignment="1">
      <alignment horizontal="center"/>
    </xf>
    <xf numFmtId="0" fontId="12" fillId="0" borderId="11" xfId="0" applyFont="1" applyBorder="1" applyAlignment="1">
      <alignment horizontal="center"/>
    </xf>
    <xf numFmtId="0" fontId="12" fillId="0" borderId="9" xfId="0" applyFont="1" applyBorder="1" applyAlignment="1">
      <alignment horizontal="center"/>
    </xf>
    <xf numFmtId="37" fontId="6" fillId="0" borderId="0" xfId="0" applyNumberFormat="1" applyFont="1" applyFill="1" applyAlignment="1" applyProtection="1">
      <alignment horizontal="center"/>
    </xf>
    <xf numFmtId="37" fontId="8" fillId="0" borderId="0" xfId="0" applyNumberFormat="1" applyFont="1" applyAlignment="1" applyProtection="1">
      <alignment horizontal="center"/>
    </xf>
    <xf numFmtId="0" fontId="18" fillId="0" borderId="7" xfId="0" applyFont="1" applyFill="1" applyBorder="1" applyAlignment="1">
      <alignment vertical="center" wrapText="1"/>
    </xf>
    <xf numFmtId="0" fontId="0" fillId="0" borderId="7" xfId="0" applyFill="1" applyBorder="1" applyAlignment="1">
      <alignment vertical="center" wrapText="1"/>
    </xf>
    <xf numFmtId="0" fontId="15" fillId="0" borderId="9" xfId="0" applyFont="1" applyFill="1" applyBorder="1" applyAlignment="1">
      <alignment horizontal="center"/>
    </xf>
    <xf numFmtId="0" fontId="15" fillId="0" borderId="6" xfId="0" applyFont="1" applyFill="1" applyBorder="1" applyAlignment="1">
      <alignment horizontal="center"/>
    </xf>
    <xf numFmtId="0" fontId="18" fillId="0" borderId="0" xfId="0" applyFont="1" applyFill="1" applyBorder="1" applyAlignment="1">
      <alignment wrapText="1"/>
    </xf>
    <xf numFmtId="0" fontId="0" fillId="0" borderId="0" xfId="0" applyAlignment="1">
      <alignment wrapText="1"/>
    </xf>
    <xf numFmtId="0" fontId="18" fillId="0" borderId="0" xfId="0" applyFont="1" applyFill="1" applyBorder="1" applyAlignment="1">
      <alignment vertical="top" wrapText="1"/>
    </xf>
    <xf numFmtId="0" fontId="0" fillId="0" borderId="0" xfId="0" applyBorder="1" applyAlignment="1">
      <alignment vertical="top" wrapText="1"/>
    </xf>
    <xf numFmtId="0" fontId="14" fillId="0" borderId="0" xfId="0" applyFont="1" applyFill="1" applyBorder="1" applyAlignment="1">
      <alignment vertical="top" wrapText="1"/>
    </xf>
    <xf numFmtId="0" fontId="0" fillId="0" borderId="0" xfId="0" applyFill="1" applyAlignment="1"/>
    <xf numFmtId="0" fontId="0" fillId="0" borderId="4" xfId="0" pivotButton="1" applyBorder="1"/>
    <xf numFmtId="0" fontId="0" fillId="0" borderId="31" xfId="0" applyBorder="1"/>
    <xf numFmtId="0" fontId="12" fillId="0" borderId="30" xfId="0" applyFont="1" applyBorder="1"/>
    <xf numFmtId="0" fontId="1" fillId="0" borderId="4" xfId="0" pivotButton="1" applyFont="1" applyBorder="1"/>
    <xf numFmtId="0" fontId="12" fillId="0" borderId="21" xfId="0" applyFont="1" applyBorder="1"/>
    <xf numFmtId="0" fontId="0" fillId="0" borderId="21" xfId="0" applyBorder="1"/>
    <xf numFmtId="165" fontId="0" fillId="0" borderId="21" xfId="0" applyNumberFormat="1" applyBorder="1"/>
    <xf numFmtId="165" fontId="0" fillId="0" borderId="3" xfId="0" applyNumberFormat="1" applyBorder="1"/>
    <xf numFmtId="172" fontId="0" fillId="0" borderId="5" xfId="0" applyNumberFormat="1" applyBorder="1"/>
    <xf numFmtId="165" fontId="0" fillId="0" borderId="1" xfId="0" applyNumberFormat="1" applyBorder="1"/>
    <xf numFmtId="170" fontId="12" fillId="0" borderId="3" xfId="0" applyNumberFormat="1" applyFont="1" applyBorder="1"/>
    <xf numFmtId="165" fontId="12" fillId="0" borderId="5" xfId="0" applyNumberFormat="1" applyFont="1" applyBorder="1"/>
    <xf numFmtId="10" fontId="0" fillId="0" borderId="5" xfId="0" applyNumberFormat="1" applyBorder="1"/>
    <xf numFmtId="165" fontId="0" fillId="0" borderId="51" xfId="0" applyNumberFormat="1" applyBorder="1"/>
    <xf numFmtId="165" fontId="0" fillId="0" borderId="52" xfId="0" applyNumberFormat="1" applyBorder="1"/>
    <xf numFmtId="165" fontId="0" fillId="0" borderId="53" xfId="0" applyNumberFormat="1" applyBorder="1"/>
    <xf numFmtId="165" fontId="0" fillId="0" borderId="54" xfId="0" applyNumberFormat="1" applyBorder="1"/>
    <xf numFmtId="165" fontId="0" fillId="0" borderId="55" xfId="0" applyNumberFormat="1" applyBorder="1"/>
    <xf numFmtId="165" fontId="0" fillId="0" borderId="56" xfId="0" applyNumberFormat="1" applyBorder="1"/>
    <xf numFmtId="165" fontId="0" fillId="0" borderId="57" xfId="0" applyNumberFormat="1" applyBorder="1"/>
    <xf numFmtId="165" fontId="0" fillId="0" borderId="58" xfId="0" applyNumberFormat="1" applyBorder="1"/>
    <xf numFmtId="165" fontId="0" fillId="0" borderId="59" xfId="0" applyNumberFormat="1" applyBorder="1"/>
    <xf numFmtId="165" fontId="0" fillId="0" borderId="60" xfId="0" applyNumberFormat="1" applyBorder="1"/>
    <xf numFmtId="165" fontId="0" fillId="0" borderId="61" xfId="0" applyNumberFormat="1" applyBorder="1"/>
    <xf numFmtId="165" fontId="0" fillId="0" borderId="31" xfId="0" applyNumberFormat="1" applyBorder="1"/>
    <xf numFmtId="165" fontId="0" fillId="0" borderId="32" xfId="0" applyNumberFormat="1" applyBorder="1"/>
    <xf numFmtId="165" fontId="0" fillId="0" borderId="49" xfId="0" applyNumberFormat="1" applyBorder="1"/>
    <xf numFmtId="165" fontId="0" fillId="0" borderId="15" xfId="0" applyNumberFormat="1" applyBorder="1"/>
    <xf numFmtId="165" fontId="0" fillId="0" borderId="16" xfId="0" applyNumberFormat="1" applyBorder="1"/>
    <xf numFmtId="165" fontId="0" fillId="0" borderId="17" xfId="0" applyNumberFormat="1" applyBorder="1"/>
    <xf numFmtId="165" fontId="0" fillId="0" borderId="18" xfId="0" applyNumberFormat="1" applyBorder="1"/>
    <xf numFmtId="165" fontId="0" fillId="0" borderId="19" xfId="0" applyNumberFormat="1" applyBorder="1"/>
    <xf numFmtId="165" fontId="0" fillId="0" borderId="62" xfId="0" applyNumberFormat="1" applyBorder="1"/>
    <xf numFmtId="165" fontId="0" fillId="0" borderId="63" xfId="0" applyNumberFormat="1" applyBorder="1"/>
    <xf numFmtId="165" fontId="0" fillId="0" borderId="9" xfId="0" applyNumberFormat="1" applyBorder="1"/>
    <xf numFmtId="165" fontId="0" fillId="0" borderId="6" xfId="0" applyNumberFormat="1" applyBorder="1"/>
    <xf numFmtId="165" fontId="0" fillId="0" borderId="11" xfId="0" applyNumberFormat="1" applyBorder="1"/>
    <xf numFmtId="165" fontId="0" fillId="5" borderId="49" xfId="0" applyNumberFormat="1" applyFill="1" applyBorder="1"/>
    <xf numFmtId="165" fontId="0" fillId="5" borderId="15" xfId="0" applyNumberFormat="1" applyFill="1" applyBorder="1"/>
    <xf numFmtId="165" fontId="0" fillId="0" borderId="64" xfId="0" applyNumberFormat="1" applyBorder="1"/>
    <xf numFmtId="165" fontId="0" fillId="0" borderId="65" xfId="0" applyNumberFormat="1" applyBorder="1"/>
    <xf numFmtId="165" fontId="0" fillId="0" borderId="66" xfId="0" applyNumberFormat="1" applyBorder="1"/>
    <xf numFmtId="165" fontId="0" fillId="0" borderId="10" xfId="0" applyNumberFormat="1" applyBorder="1"/>
    <xf numFmtId="165" fontId="0" fillId="0" borderId="13" xfId="0" applyNumberFormat="1" applyBorder="1"/>
    <xf numFmtId="164" fontId="0" fillId="0" borderId="5" xfId="0" applyNumberFormat="1" applyBorder="1"/>
    <xf numFmtId="164" fontId="0" fillId="0" borderId="0" xfId="0" applyNumberFormat="1"/>
    <xf numFmtId="164" fontId="0" fillId="0" borderId="16" xfId="0" applyNumberFormat="1" applyBorder="1"/>
    <xf numFmtId="165" fontId="12" fillId="0" borderId="16" xfId="0" applyNumberFormat="1" applyFont="1" applyBorder="1"/>
    <xf numFmtId="165" fontId="12" fillId="0" borderId="0" xfId="0" applyNumberFormat="1" applyFont="1"/>
    <xf numFmtId="165" fontId="12" fillId="0" borderId="21" xfId="0" applyNumberFormat="1" applyFont="1" applyBorder="1"/>
    <xf numFmtId="165" fontId="12" fillId="0" borderId="3" xfId="0" applyNumberFormat="1" applyFont="1" applyBorder="1"/>
    <xf numFmtId="170" fontId="12" fillId="0" borderId="0" xfId="0" applyNumberFormat="1" applyFont="1" applyBorder="1"/>
    <xf numFmtId="165" fontId="12" fillId="0" borderId="19" xfId="0" applyNumberFormat="1" applyFont="1" applyBorder="1"/>
    <xf numFmtId="165" fontId="12" fillId="0" borderId="0" xfId="0" applyNumberFormat="1" applyFont="1" applyBorder="1"/>
    <xf numFmtId="165" fontId="12" fillId="0" borderId="13" xfId="0" applyNumberFormat="1" applyFont="1" applyBorder="1"/>
    <xf numFmtId="165" fontId="0" fillId="8" borderId="49" xfId="0" applyNumberFormat="1" applyFill="1" applyBorder="1"/>
    <xf numFmtId="165" fontId="0" fillId="8" borderId="15" xfId="0" applyNumberFormat="1" applyFill="1" applyBorder="1"/>
    <xf numFmtId="165" fontId="12" fillId="0" borderId="16" xfId="0" applyNumberFormat="1" applyFont="1" applyFill="1" applyBorder="1"/>
    <xf numFmtId="165" fontId="12" fillId="0" borderId="4" xfId="0" applyNumberFormat="1" applyFont="1" applyBorder="1"/>
    <xf numFmtId="165" fontId="12" fillId="0" borderId="49" xfId="0" applyNumberFormat="1" applyFont="1" applyBorder="1"/>
    <xf numFmtId="165" fontId="12" fillId="0" borderId="15" xfId="0" applyNumberFormat="1" applyFont="1" applyBorder="1"/>
    <xf numFmtId="165" fontId="12" fillId="0" borderId="18" xfId="0" applyNumberFormat="1" applyFont="1" applyBorder="1"/>
    <xf numFmtId="165" fontId="12" fillId="0" borderId="14" xfId="0" applyNumberFormat="1" applyFont="1" applyBorder="1"/>
    <xf numFmtId="10" fontId="12" fillId="0" borderId="0" xfId="0" applyNumberFormat="1" applyFont="1" applyBorder="1"/>
    <xf numFmtId="10" fontId="0" fillId="0" borderId="0" xfId="0" applyNumberFormat="1" applyBorder="1"/>
    <xf numFmtId="165" fontId="0" fillId="0" borderId="67" xfId="0" applyNumberFormat="1" applyFill="1" applyBorder="1"/>
    <xf numFmtId="165" fontId="0" fillId="0" borderId="18" xfId="0" applyNumberFormat="1" applyFill="1" applyBorder="1"/>
    <xf numFmtId="165" fontId="0" fillId="0" borderId="17" xfId="0" applyNumberFormat="1" applyFill="1" applyBorder="1"/>
    <xf numFmtId="165" fontId="0" fillId="0" borderId="19" xfId="0" applyNumberFormat="1" applyFill="1" applyBorder="1"/>
    <xf numFmtId="165" fontId="0" fillId="0" borderId="68" xfId="0" applyNumberFormat="1" applyBorder="1"/>
    <xf numFmtId="172" fontId="0" fillId="0" borderId="0" xfId="0" applyNumberFormat="1" applyBorder="1"/>
    <xf numFmtId="164" fontId="0" fillId="0" borderId="0" xfId="0" applyNumberFormat="1" applyBorder="1"/>
    <xf numFmtId="9" fontId="1" fillId="0" borderId="8" xfId="0" pivotButton="1" applyNumberFormat="1" applyFont="1" applyBorder="1"/>
    <xf numFmtId="172" fontId="0" fillId="0" borderId="14" xfId="0" applyNumberFormat="1" applyBorder="1"/>
    <xf numFmtId="10" fontId="0" fillId="0" borderId="14" xfId="0" applyNumberFormat="1" applyBorder="1"/>
    <xf numFmtId="164" fontId="0" fillId="0" borderId="14" xfId="0" applyNumberFormat="1" applyBorder="1"/>
    <xf numFmtId="165" fontId="0" fillId="0" borderId="69" xfId="0" applyNumberFormat="1" applyBorder="1"/>
    <xf numFmtId="165" fontId="12" fillId="0" borderId="14" xfId="0" applyNumberFormat="1" applyFont="1" applyFill="1" applyBorder="1"/>
    <xf numFmtId="165" fontId="12" fillId="0" borderId="5" xfId="0" applyNumberFormat="1" applyFont="1" applyFill="1" applyBorder="1"/>
    <xf numFmtId="170" fontId="12" fillId="0" borderId="5" xfId="0" applyNumberFormat="1" applyFont="1" applyFill="1" applyBorder="1"/>
    <xf numFmtId="165" fontId="12" fillId="0" borderId="0" xfId="0" applyNumberFormat="1" applyFont="1" applyFill="1" applyBorder="1"/>
    <xf numFmtId="165" fontId="0" fillId="8" borderId="0" xfId="0" applyNumberFormat="1" applyFill="1"/>
    <xf numFmtId="165" fontId="0" fillId="8" borderId="5" xfId="0" applyNumberFormat="1" applyFill="1" applyBorder="1"/>
    <xf numFmtId="165" fontId="0" fillId="13" borderId="0" xfId="0" applyNumberFormat="1" applyFill="1"/>
    <xf numFmtId="165" fontId="0" fillId="13" borderId="5" xfId="0" applyNumberFormat="1" applyFill="1" applyBorder="1"/>
    <xf numFmtId="165" fontId="0" fillId="21" borderId="0" xfId="0" applyNumberFormat="1" applyFill="1"/>
    <xf numFmtId="165" fontId="0" fillId="21" borderId="0" xfId="0" applyNumberFormat="1" applyFill="1" applyBorder="1"/>
    <xf numFmtId="165" fontId="0" fillId="21" borderId="5" xfId="0" applyNumberFormat="1" applyFill="1" applyBorder="1"/>
    <xf numFmtId="165" fontId="0" fillId="0" borderId="52" xfId="0" applyNumberFormat="1" applyFill="1" applyBorder="1"/>
    <xf numFmtId="170" fontId="12" fillId="0" borderId="16" xfId="0" applyNumberFormat="1" applyFont="1" applyFill="1" applyBorder="1"/>
    <xf numFmtId="170" fontId="12" fillId="0" borderId="19" xfId="0" applyNumberFormat="1" applyFont="1" applyFill="1" applyBorder="1"/>
    <xf numFmtId="170" fontId="12" fillId="0" borderId="21" xfId="0" applyNumberFormat="1" applyFont="1" applyFill="1" applyBorder="1"/>
    <xf numFmtId="165" fontId="12" fillId="0" borderId="3" xfId="0" applyNumberFormat="1" applyFont="1" applyFill="1" applyBorder="1"/>
    <xf numFmtId="165" fontId="12" fillId="0" borderId="13" xfId="0" applyNumberFormat="1" applyFont="1" applyFill="1" applyBorder="1"/>
    <xf numFmtId="165" fontId="12" fillId="0" borderId="21" xfId="0" applyNumberFormat="1" applyFont="1" applyFill="1" applyBorder="1"/>
    <xf numFmtId="165" fontId="1" fillId="0" borderId="4" xfId="0" applyNumberFormat="1" applyFont="1" applyFill="1" applyBorder="1"/>
    <xf numFmtId="165" fontId="1" fillId="0" borderId="8" xfId="0" applyNumberFormat="1" applyFont="1" applyFill="1" applyBorder="1"/>
    <xf numFmtId="165" fontId="1" fillId="0" borderId="25" xfId="0" applyNumberFormat="1" applyFont="1" applyFill="1" applyBorder="1"/>
    <xf numFmtId="165" fontId="1" fillId="0" borderId="5" xfId="0" applyNumberFormat="1" applyFont="1" applyFill="1" applyBorder="1"/>
    <xf numFmtId="165" fontId="1" fillId="0" borderId="0" xfId="0" applyNumberFormat="1" applyFont="1" applyFill="1" applyBorder="1"/>
    <xf numFmtId="165" fontId="1" fillId="0" borderId="14" xfId="0" applyNumberFormat="1" applyFont="1" applyFill="1" applyBorder="1"/>
    <xf numFmtId="165" fontId="1" fillId="0" borderId="49" xfId="0" applyNumberFormat="1" applyFont="1" applyFill="1" applyBorder="1"/>
    <xf numFmtId="165" fontId="1" fillId="0" borderId="10" xfId="0" applyNumberFormat="1" applyFont="1" applyFill="1" applyBorder="1"/>
    <xf numFmtId="165" fontId="1" fillId="0" borderId="18" xfId="0" applyNumberFormat="1" applyFont="1" applyFill="1" applyBorder="1"/>
    <xf numFmtId="165" fontId="1" fillId="0" borderId="15" xfId="0" applyNumberFormat="1" applyFont="1" applyFill="1" applyBorder="1"/>
    <xf numFmtId="9" fontId="1" fillId="0" borderId="5" xfId="0" applyNumberFormat="1" applyFont="1" applyFill="1" applyBorder="1"/>
    <xf numFmtId="172" fontId="1" fillId="0" borderId="5" xfId="0" applyNumberFormat="1" applyFont="1" applyFill="1" applyBorder="1"/>
    <xf numFmtId="172" fontId="1" fillId="0" borderId="14" xfId="0" applyNumberFormat="1" applyFont="1" applyFill="1" applyBorder="1"/>
    <xf numFmtId="165" fontId="1" fillId="0" borderId="42" xfId="0" applyNumberFormat="1" applyFont="1" applyFill="1" applyBorder="1"/>
    <xf numFmtId="165" fontId="1" fillId="0" borderId="44" xfId="0" applyNumberFormat="1" applyFont="1" applyFill="1" applyBorder="1"/>
    <xf numFmtId="165" fontId="12" fillId="0" borderId="44" xfId="0" applyNumberFormat="1" applyFont="1" applyFill="1" applyBorder="1"/>
    <xf numFmtId="165" fontId="12" fillId="0" borderId="45" xfId="0" applyNumberFormat="1" applyFont="1" applyFill="1" applyBorder="1"/>
    <xf numFmtId="165" fontId="12" fillId="0" borderId="44" xfId="0" applyNumberFormat="1" applyFont="1" applyBorder="1"/>
    <xf numFmtId="165" fontId="12" fillId="0" borderId="45" xfId="0" applyNumberFormat="1" applyFont="1" applyBorder="1"/>
    <xf numFmtId="164" fontId="0" fillId="0" borderId="44" xfId="0" applyNumberFormat="1" applyBorder="1"/>
    <xf numFmtId="165" fontId="0" fillId="0" borderId="70" xfId="0" applyNumberFormat="1" applyBorder="1"/>
    <xf numFmtId="165" fontId="0" fillId="0" borderId="45" xfId="0" applyNumberFormat="1" applyBorder="1"/>
    <xf numFmtId="164" fontId="0" fillId="8" borderId="16" xfId="0" applyNumberFormat="1" applyFill="1" applyBorder="1"/>
    <xf numFmtId="164" fontId="0" fillId="5" borderId="16" xfId="0" applyNumberFormat="1" applyFill="1" applyBorder="1"/>
    <xf numFmtId="166" fontId="12" fillId="0" borderId="5" xfId="0" applyNumberFormat="1" applyFont="1" applyFill="1" applyBorder="1"/>
    <xf numFmtId="166" fontId="12" fillId="0" borderId="0" xfId="0" applyNumberFormat="1" applyFont="1" applyFill="1" applyBorder="1"/>
    <xf numFmtId="166" fontId="12" fillId="0" borderId="14" xfId="0" applyNumberFormat="1" applyFont="1" applyFill="1" applyBorder="1"/>
    <xf numFmtId="166" fontId="12" fillId="0" borderId="44" xfId="0" applyNumberFormat="1" applyFont="1" applyFill="1" applyBorder="1"/>
    <xf numFmtId="166" fontId="12" fillId="0" borderId="52" xfId="0" applyNumberFormat="1" applyFont="1" applyBorder="1"/>
    <xf numFmtId="166" fontId="12" fillId="0" borderId="54" xfId="0" applyNumberFormat="1" applyFont="1" applyBorder="1"/>
    <xf numFmtId="166" fontId="12" fillId="0" borderId="55" xfId="0" applyNumberFormat="1" applyFont="1" applyBorder="1"/>
    <xf numFmtId="166" fontId="12" fillId="0" borderId="1" xfId="0" applyNumberFormat="1" applyFont="1" applyBorder="1"/>
    <xf numFmtId="166" fontId="12" fillId="0" borderId="19" xfId="0" applyNumberFormat="1" applyFont="1" applyFill="1" applyBorder="1"/>
    <xf numFmtId="166" fontId="12" fillId="0" borderId="15" xfId="0" applyNumberFormat="1" applyFont="1" applyBorder="1"/>
    <xf numFmtId="0" fontId="12" fillId="0" borderId="4" xfId="0" applyNumberFormat="1" applyFont="1" applyBorder="1"/>
    <xf numFmtId="0" fontId="12" fillId="0" borderId="2" xfId="0" applyNumberFormat="1" applyFont="1" applyBorder="1"/>
    <xf numFmtId="0" fontId="12" fillId="0" borderId="34" xfId="0" applyNumberFormat="1" applyFont="1" applyBorder="1"/>
    <xf numFmtId="167" fontId="0" fillId="5" borderId="14" xfId="1" applyNumberFormat="1" applyFont="1" applyFill="1" applyBorder="1"/>
    <xf numFmtId="3" fontId="32" fillId="25" borderId="15" xfId="4" applyNumberFormat="1" applyFont="1" applyFill="1" applyBorder="1" applyAlignment="1">
      <alignment horizontal="right"/>
    </xf>
  </cellXfs>
  <cellStyles count="19">
    <cellStyle name="Comma" xfId="1" builtinId="3"/>
    <cellStyle name="Normal" xfId="0" builtinId="0"/>
    <cellStyle name="Normal 3" xfId="2"/>
    <cellStyle name="Normal 5" xfId="3"/>
    <cellStyle name="Normal_05InstructionTypes09mastersurvey" xfId="4"/>
    <cellStyle name="Normal_05InstructionTypes09mastersurvey 2" xfId="5"/>
    <cellStyle name="Normal_5 Instruction Types Data" xfId="6"/>
    <cellStyle name="Normal_Degree02 Form" xfId="7"/>
    <cellStyle name="Normal_Degrees02 Form" xfId="8"/>
    <cellStyle name="Normal_E-learning04 Form" xfId="9"/>
    <cellStyle name="Normal_InstructionTypes07" xfId="10"/>
    <cellStyle name="Normal_SCH&amp;FTE02 Form" xfId="11"/>
    <cellStyle name="Normal_SCH&amp;FTE03 Form" xfId="12"/>
    <cellStyle name="Normal_Sheet1" xfId="13"/>
    <cellStyle name="Normal_StProg01B" xfId="14"/>
    <cellStyle name="Normal_StProg02 Form" xfId="15"/>
    <cellStyle name="Percent" xfId="16" builtinId="5"/>
    <cellStyle name="questionable" xfId="17"/>
    <cellStyle name="review" xfId="18"/>
  </cellStyles>
  <dxfs count="1803">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numFmt numFmtId="0" formatCode="General"/>
    </dxf>
    <dxf>
      <border>
        <bottom style="thin">
          <color indexed="64"/>
        </bottom>
      </border>
    </dxf>
    <dxf>
      <font>
        <b val="0"/>
      </font>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7" formatCode="_(* #,##0_);_(* \(#,##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5" formatCode="0.0%"/>
    </dxf>
    <dxf>
      <border>
        <right style="thin">
          <color indexed="64"/>
        </right>
      </border>
    </dxf>
    <dxf>
      <border>
        <right style="thin">
          <color indexed="64"/>
        </right>
      </border>
    </dxf>
    <dxf>
      <border>
        <right style="thin">
          <color indexed="64"/>
        </right>
      </border>
    </dxf>
    <dxf>
      <numFmt numFmtId="165" formatCode="0.0%"/>
    </dxf>
    <dxf>
      <font>
        <b val="0"/>
      </font>
    </dxf>
    <dxf>
      <font>
        <b val="0"/>
      </font>
    </dxf>
    <dxf>
      <font>
        <b val="0"/>
      </font>
    </dxf>
    <dxf>
      <font>
        <b val="0"/>
      </font>
    </dxf>
    <dxf>
      <font>
        <b/>
      </font>
    </dxf>
    <dxf>
      <font>
        <b val="0"/>
      </font>
    </dxf>
    <dxf>
      <font>
        <b val="0"/>
      </font>
    </dxf>
    <dxf>
      <font>
        <b val="0"/>
      </font>
    </dxf>
    <dxf>
      <font>
        <b val="0"/>
      </font>
    </dxf>
    <dxf>
      <font>
        <b val="0"/>
      </font>
    </dxf>
    <dxf>
      <font>
        <b val="0"/>
      </font>
    </dxf>
    <dxf>
      <font>
        <b val="0"/>
      </font>
    </dxf>
    <dxf>
      <font>
        <b val="0"/>
      </font>
    </dxf>
    <dxf>
      <font>
        <b/>
      </font>
    </dxf>
    <dxf>
      <font>
        <b/>
      </font>
    </dxf>
    <dxf>
      <font>
        <b/>
      </font>
    </dxf>
    <dxf>
      <border>
        <right/>
        <top/>
        <vertical/>
      </border>
    </dxf>
    <dxf>
      <border>
        <left/>
        <right/>
        <top/>
        <vertical/>
      </border>
    </dxf>
    <dxf>
      <border>
        <left/>
        <top/>
      </border>
    </dxf>
    <dxf>
      <border>
        <right/>
      </border>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ill>
        <patternFill patternType="solid">
          <bgColor indexed="13"/>
        </patternFill>
      </fill>
    </dxf>
    <dxf>
      <fill>
        <patternFill patternType="solid">
          <bgColor indexed="13"/>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ont>
        <b/>
      </font>
    </dxf>
    <dxf>
      <font>
        <b/>
      </font>
    </dxf>
    <dxf>
      <font>
        <b/>
      </font>
    </dxf>
    <dxf>
      <font>
        <b/>
      </font>
    </dxf>
    <dxf>
      <font>
        <b/>
      </font>
    </dxf>
    <dxf>
      <font>
        <b/>
      </font>
    </dxf>
    <dxf>
      <font>
        <b/>
      </font>
    </dxf>
    <dxf>
      <font>
        <b/>
      </font>
    </dxf>
    <dxf>
      <font>
        <b/>
      </font>
    </dxf>
    <dxf>
      <font>
        <b/>
      </font>
    </dxf>
    <dxf>
      <font>
        <b/>
      </font>
    </dxf>
    <dxf>
      <fill>
        <patternFill patternType="none"/>
      </fill>
    </dxf>
    <dxf>
      <fill>
        <patternFill patternType="none"/>
      </fill>
    </dxf>
    <dxf>
      <fill>
        <patternFill patternType="solid">
          <bgColor indexed="13"/>
        </patternFill>
      </fill>
    </dxf>
    <dxf>
      <fill>
        <patternFill patternType="solid">
          <bgColor indexed="13"/>
        </patternFill>
      </fill>
    </dxf>
    <dxf>
      <border>
        <left style="thin">
          <color indexed="64"/>
        </left>
      </border>
    </dxf>
    <dxf>
      <border>
        <left style="thin">
          <color indexed="64"/>
        </left>
      </border>
    </dxf>
    <dxf>
      <border>
        <left/>
      </border>
    </dxf>
    <dxf>
      <border>
        <left/>
      </border>
    </dxf>
    <dxf>
      <border>
        <left/>
      </border>
    </dxf>
    <dxf>
      <border>
        <left/>
      </border>
    </dxf>
    <dxf>
      <border>
        <left/>
      </border>
    </dxf>
    <dxf>
      <font>
        <b/>
      </font>
      <numFmt numFmtId="170" formatCode="#,##0.0"/>
    </dxf>
    <dxf>
      <border>
        <left/>
      </border>
    </dxf>
    <dxf>
      <border>
        <left/>
      </border>
    </dxf>
    <dxf>
      <font>
        <b/>
      </font>
      <numFmt numFmtId="170" formatCode="#,##0.0"/>
    </dxf>
    <dxf>
      <font>
        <b/>
      </font>
      <numFmt numFmtId="170" formatCode="#,##0.0"/>
    </dxf>
    <dxf>
      <font>
        <b/>
      </font>
      <numFmt numFmtId="170" formatCode="#,##0.0"/>
    </dxf>
    <dxf>
      <font>
        <b/>
      </font>
    </dxf>
    <dxf>
      <font>
        <b/>
      </font>
    </dxf>
    <dxf>
      <font>
        <b/>
      </font>
    </dxf>
    <dxf>
      <numFmt numFmtId="165" formatCode="0.0%"/>
    </dxf>
    <dxf>
      <numFmt numFmtId="165" formatCode="0.0%"/>
    </dxf>
    <dxf>
      <font>
        <b/>
      </font>
      <numFmt numFmtId="170" formatCode="#,##0.0"/>
    </dxf>
    <dxf>
      <font>
        <b/>
      </font>
      <numFmt numFmtId="170" formatCode="#,##0.0"/>
    </dxf>
    <dxf>
      <fill>
        <patternFill patternType="solid">
          <bgColor indexed="13"/>
        </patternFill>
      </fill>
    </dxf>
    <dxf>
      <fill>
        <patternFill patternType="solid">
          <bgColor indexed="13"/>
        </patternFill>
      </fill>
    </dxf>
    <dxf>
      <fill>
        <patternFill patternType="none"/>
      </fill>
    </dxf>
    <dxf>
      <fill>
        <patternFill patternType="none"/>
      </fill>
    </dxf>
    <dxf>
      <fill>
        <patternFill patternType="solid">
          <bgColor indexed="13"/>
        </patternFill>
      </fill>
    </dxf>
    <dxf>
      <fill>
        <patternFill patternType="solid">
          <bgColor indexed="13"/>
        </patternFill>
      </fill>
    </dxf>
    <dxf>
      <font>
        <b/>
      </font>
      <numFmt numFmtId="166" formatCode="0.0"/>
    </dxf>
    <dxf>
      <fill>
        <patternFill patternType="solid">
          <bgColor indexed="13"/>
        </patternFill>
      </fill>
    </dxf>
    <dxf>
      <fill>
        <patternFill patternType="solid">
          <bgColor indexed="13"/>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patternType="solid">
          <bgColor indexed="13"/>
        </patternFill>
      </fill>
    </dxf>
    <dxf>
      <fill>
        <patternFill patternType="solid">
          <bgColor indexed="13"/>
        </patternFill>
      </fill>
    </dxf>
    <dxf>
      <fill>
        <patternFill patternType="solid">
          <bgColor indexed="13"/>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64" formatCode="_(* #,##0.0_);_(* \(#,##0.0\);_(* &quot;-&quot;??_);_(@_)"/>
    </dxf>
    <dxf>
      <numFmt numFmtId="166" formatCode="0.0"/>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numFmt numFmtId="165" formatCode="0.0%"/>
    </dxf>
    <dxf>
      <numFmt numFmtId="165" formatCode="0.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165" formatCode="0.0%"/>
    </dxf>
    <dxf>
      <border>
        <left style="thin">
          <color indexed="64"/>
        </left>
        <bottom style="thin">
          <color indexed="64"/>
        </bottom>
      </border>
    </dxf>
    <dxf>
      <border>
        <right style="thin">
          <color indexed="64"/>
        </right>
        <bottom style="thin">
          <color indexed="64"/>
        </bottom>
      </border>
    </dxf>
    <dxf>
      <border>
        <left style="thin">
          <color indexed="64"/>
        </left>
        <right style="thin">
          <color indexed="64"/>
        </right>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0.0%"/>
    </dxf>
    <dxf>
      <border>
        <left style="thin">
          <color indexed="64"/>
        </left>
        <right style="thin">
          <color indexed="64"/>
        </right>
        <top style="thin">
          <color indexed="64"/>
        </top>
        <bottom style="thin">
          <color indexed="64"/>
        </bottom>
      </border>
    </dxf>
    <dxf>
      <numFmt numFmtId="165" formatCode="0.0%"/>
    </dxf>
    <dxf>
      <border>
        <left style="thin">
          <color indexed="64"/>
        </left>
        <right style="thin">
          <color indexed="64"/>
        </right>
        <top style="thin">
          <color indexed="64"/>
        </top>
        <bottom style="thin">
          <color indexed="64"/>
        </bottom>
      </border>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numFmt numFmtId="14" formatCode="0.0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border>
    </dxf>
    <dxf>
      <border>
        <bottom style="thin">
          <color indexed="64"/>
        </bottom>
      </border>
    </dxf>
    <dxf>
      <border>
        <bottom style="thin">
          <color indexed="64"/>
        </bottom>
      </border>
    </dxf>
    <dxf>
      <numFmt numFmtId="165" formatCode="0.0%"/>
    </dxf>
    <dxf>
      <numFmt numFmtId="165" formatCode="0.0%"/>
    </dxf>
    <dxf>
      <border>
        <left style="thin">
          <color indexed="64"/>
        </left>
        <right style="thin">
          <color indexed="64"/>
        </right>
        <top style="thin">
          <color indexed="64"/>
        </top>
        <bottom style="thin">
          <color indexed="64"/>
        </bottom>
      </border>
    </dxf>
    <dxf>
      <numFmt numFmtId="165" formatCode="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numFmt numFmtId="165" formatCode="0.0%"/>
    </dxf>
    <dxf>
      <fill>
        <patternFill patternType="solid">
          <bgColor indexed="43"/>
        </patternFill>
      </fill>
    </dxf>
    <dxf>
      <border>
        <bottom style="thin">
          <color indexed="8"/>
        </bottom>
      </border>
    </dxf>
    <dxf>
      <border>
        <bottom style="thin">
          <color indexed="8"/>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0.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72" formatCode="0.000%"/>
    </dxf>
    <dxf>
      <numFmt numFmtId="14" formatCode="0.00%"/>
    </dxf>
    <dxf>
      <numFmt numFmtId="14" formatCode="0.00%"/>
    </dxf>
    <dxf>
      <numFmt numFmtId="165" formatCode="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4" formatCode="0.00%"/>
    </dxf>
    <dxf>
      <numFmt numFmtId="172" formatCode="0.000%"/>
    </dxf>
    <dxf>
      <numFmt numFmtId="172" formatCode="0.000%"/>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numFmt numFmtId="172" formatCode="0.000%"/>
    </dxf>
    <dxf>
      <numFmt numFmtId="14" formatCode="0.00%"/>
    </dxf>
    <dxf>
      <numFmt numFmtId="172" formatCode="0.000%"/>
    </dxf>
    <dxf>
      <numFmt numFmtId="14" formatCode="0.00%"/>
    </dxf>
    <dxf>
      <font>
        <b/>
      </font>
    </dxf>
    <dxf>
      <font>
        <b/>
      </font>
    </dxf>
    <dxf>
      <font>
        <b/>
      </font>
    </dxf>
    <dxf>
      <font>
        <b/>
      </font>
    </dxf>
    <dxf>
      <font>
        <b/>
      </font>
    </dxf>
    <dxf>
      <font>
        <b/>
      </font>
    </dxf>
    <dxf>
      <font>
        <b/>
      </font>
    </dxf>
    <dxf>
      <font>
        <b/>
      </font>
    </dxf>
    <dxf>
      <font>
        <b/>
      </font>
    </dxf>
    <dxf>
      <font>
        <b/>
      </font>
    </dxf>
    <dxf>
      <font>
        <b/>
      </font>
    </dxf>
    <dxf>
      <font>
        <b/>
      </font>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numFmt numFmtId="170" formatCode="#,##0.0"/>
    </dxf>
    <dxf>
      <border>
        <left style="medium">
          <color indexed="64"/>
        </left>
        <right style="medium">
          <color indexed="64"/>
        </right>
      </border>
    </dxf>
    <dxf>
      <numFmt numFmtId="172" formatCode="0.000%"/>
    </dxf>
    <dxf>
      <border>
        <bottom style="thin">
          <color indexed="64"/>
        </bottom>
      </border>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alignment horizontal="right" readingOrder="0"/>
    </dxf>
    <dxf>
      <border>
        <bottom style="thin">
          <color indexed="64"/>
        </bottom>
      </border>
    </dxf>
    <dxf>
      <border>
        <top/>
      </border>
    </dxf>
    <dxf>
      <fill>
        <patternFill patternType="none"/>
      </fill>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font>
        <b val="0"/>
      </font>
    </dxf>
    <dxf>
      <font>
        <b val="0"/>
      </font>
    </dxf>
    <dxf>
      <font>
        <b val="0"/>
      </font>
    </dxf>
    <dxf>
      <border>
        <top style="thin">
          <color indexed="8"/>
        </top>
        <bottom/>
      </border>
    </dxf>
    <dxf>
      <font>
        <b/>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5" formatCode="0.0%"/>
    </dxf>
    <dxf>
      <numFmt numFmtId="13" formatCode="0%"/>
    </dxf>
    <dxf>
      <numFmt numFmtId="13" formatCode="0%"/>
    </dxf>
    <dxf>
      <numFmt numFmtId="13" formatCode="0%"/>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border>
        <left style="thin">
          <color indexed="64"/>
        </left>
      </border>
    </dxf>
    <dxf>
      <font>
        <color indexed="53"/>
      </font>
    </dxf>
    <dxf>
      <font>
        <b/>
      </font>
    </dxf>
    <dxf>
      <font>
        <b/>
      </font>
    </dxf>
    <dxf>
      <font>
        <b/>
      </font>
    </dxf>
    <dxf>
      <font>
        <b/>
      </font>
    </dxf>
    <dxf>
      <font>
        <b/>
      </font>
    </dxf>
    <dxf>
      <font>
        <b/>
      </font>
    </dxf>
    <dxf>
      <font>
        <b/>
      </font>
    </dxf>
    <dxf>
      <font>
        <b/>
      </font>
    </dxf>
    <dxf>
      <font>
        <b/>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55"/>
      </font>
    </dxf>
    <dxf>
      <font>
        <color indexed="55"/>
      </font>
    </dxf>
    <dxf>
      <font>
        <color indexed="19"/>
      </font>
    </dxf>
    <dxf>
      <font>
        <color indexed="55"/>
      </font>
    </dxf>
    <dxf>
      <font>
        <color indexed="19"/>
      </font>
    </dxf>
    <dxf>
      <font>
        <color indexed="19"/>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numFmt numFmtId="167"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font>
        <b val="0"/>
      </font>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hange/DE2001-02/Check%20Lists%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Exchange/DE2004-05/Surveys/AL%20CH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sponse History"/>
      <sheetName val="Surveys In"/>
      <sheetName val="Classification Poll"/>
      <sheetName val="Retention Data Poll"/>
      <sheetName val="Faculty Data Poll"/>
      <sheetName val="followup tracking"/>
      <sheetName val="Grad rate review"/>
    </sheetNames>
    <sheetDataSet>
      <sheetData sheetId="0"/>
      <sheetData sheetId="1">
        <row r="2">
          <cell r="C2" t="str">
            <v>SREB-State Data Exchange</v>
          </cell>
        </row>
        <row r="3">
          <cell r="A3" t="str">
            <v xml:space="preserve"> </v>
          </cell>
          <cell r="C3" t="str">
            <v xml:space="preserve">   32 Years and Still Counting</v>
          </cell>
        </row>
        <row r="4">
          <cell r="C4" t="str">
            <v>Progress Report</v>
          </cell>
        </row>
        <row r="5">
          <cell r="C5" t="str">
            <v>To:</v>
          </cell>
          <cell r="D5" t="str">
            <v>Data Exchange Coordinators, Agency Heads, Finance Officers and Staff</v>
          </cell>
        </row>
        <row r="6">
          <cell r="C6" t="str">
            <v>From:</v>
          </cell>
          <cell r="D6" t="str">
            <v>Joe Marks, Director of Education Data Services</v>
          </cell>
        </row>
        <row r="7">
          <cell r="C7" t="str">
            <v>Date:</v>
          </cell>
          <cell r="D7">
            <v>37421</v>
          </cell>
        </row>
        <row r="8">
          <cell r="C8" t="str">
            <v>As can be seen in the charts, we're in the fourth quarter of this year's Data Exchange game. Entire surveys from five agencies are still due. Not counting Part 2, partial surveys are due from three agencies. Part 2 submissions are due from eight agencies.</v>
          </cell>
          <cell r="AA8" t="str">
            <v>Four-Year</v>
          </cell>
          <cell r="AB8" t="str">
            <v>Two- Year 1</v>
          </cell>
          <cell r="AC8" t="str">
            <v>Two- Year 2</v>
          </cell>
        </row>
        <row r="9">
          <cell r="C9" t="str">
            <v>Delaware, South Carolina, Tennessee and Texas also need to register their feedback on the proposed two-year college categories. Tennessee and Texas need to provide final verification or revisions for the 2000-01 student progression data.</v>
          </cell>
          <cell r="V9" t="str">
            <v>In</v>
          </cell>
        </row>
        <row r="10">
          <cell r="D10" t="str">
            <v>Survey Sections Received</v>
          </cell>
          <cell r="AA10">
            <v>0.91666666666666663</v>
          </cell>
          <cell r="AB10">
            <v>0.91666666666666663</v>
          </cell>
          <cell r="AC10">
            <v>0.54320987654320985</v>
          </cell>
        </row>
        <row r="11">
          <cell r="C11" t="str">
            <v>Agency</v>
          </cell>
          <cell r="D11" t="str">
            <v>1. Completions</v>
          </cell>
          <cell r="E11" t="str">
            <v>2. Student Progression</v>
          </cell>
          <cell r="F11" t="str">
            <v>3. Student Credit Hours</v>
          </cell>
          <cell r="G11" t="str">
            <v>4. Public Funds</v>
          </cell>
          <cell r="H11" t="str">
            <v>5. Tuition &amp; Fees Data</v>
          </cell>
          <cell r="I11" t="str">
            <v>6. Tuition &amp; Fees Policies</v>
          </cell>
          <cell r="J11" t="str">
            <v>7. Faculty Salaries</v>
          </cell>
          <cell r="K11" t="str">
            <v>8. Faculty Benefits</v>
          </cell>
          <cell r="L11" t="str">
            <v>9. Benefits Descriptions</v>
          </cell>
        </row>
        <row r="12">
          <cell r="C12" t="str">
            <v>due dates</v>
          </cell>
          <cell r="D12" t="str">
            <v>ASAP</v>
          </cell>
          <cell r="E12">
            <v>37406</v>
          </cell>
          <cell r="F12">
            <v>37316</v>
          </cell>
          <cell r="G12">
            <v>37316</v>
          </cell>
          <cell r="H12">
            <v>37316</v>
          </cell>
          <cell r="I12">
            <v>37316</v>
          </cell>
          <cell r="J12">
            <v>37316</v>
          </cell>
          <cell r="K12">
            <v>37316</v>
          </cell>
          <cell r="L12">
            <v>37316</v>
          </cell>
        </row>
        <row r="13">
          <cell r="C13" t="str">
            <v>AL: CHE</v>
          </cell>
          <cell r="D13" t="str">
            <v>******</v>
          </cell>
          <cell r="E13" t="str">
            <v>******</v>
          </cell>
          <cell r="F13" t="str">
            <v>******</v>
          </cell>
          <cell r="G13" t="str">
            <v>******</v>
          </cell>
          <cell r="H13" t="str">
            <v>******</v>
          </cell>
          <cell r="I13" t="str">
            <v>******</v>
          </cell>
          <cell r="J13" t="str">
            <v>******</v>
          </cell>
          <cell r="K13" t="str">
            <v>******</v>
          </cell>
          <cell r="L13" t="str">
            <v>******</v>
          </cell>
        </row>
        <row r="14">
          <cell r="C14" t="str">
            <v>AR: HECB</v>
          </cell>
          <cell r="D14" t="str">
            <v>****</v>
          </cell>
          <cell r="E14" t="str">
            <v>******</v>
          </cell>
          <cell r="F14" t="str">
            <v>******</v>
          </cell>
          <cell r="G14" t="str">
            <v>******</v>
          </cell>
          <cell r="H14" t="str">
            <v>******</v>
          </cell>
          <cell r="I14" t="str">
            <v>******</v>
          </cell>
          <cell r="J14" t="str">
            <v>******</v>
          </cell>
          <cell r="K14" t="str">
            <v>******</v>
          </cell>
          <cell r="L14" t="str">
            <v>******</v>
          </cell>
          <cell r="M14" t="str">
            <v xml:space="preserve"> </v>
          </cell>
        </row>
        <row r="15">
          <cell r="C15" t="str">
            <v xml:space="preserve">  DWE</v>
          </cell>
          <cell r="D15" t="str">
            <v>Cannot respond this year. Data system in development.</v>
          </cell>
        </row>
        <row r="16">
          <cell r="C16" t="str">
            <v>DE: HEC</v>
          </cell>
        </row>
        <row r="17">
          <cell r="C17" t="str">
            <v>FL: BOR</v>
          </cell>
          <cell r="D17" t="str">
            <v>****</v>
          </cell>
          <cell r="E17" t="str">
            <v>******</v>
          </cell>
          <cell r="F17" t="str">
            <v>******</v>
          </cell>
          <cell r="G17" t="str">
            <v>******</v>
          </cell>
          <cell r="H17" t="str">
            <v>******</v>
          </cell>
          <cell r="I17" t="str">
            <v>******</v>
          </cell>
          <cell r="J17" t="str">
            <v>******</v>
          </cell>
          <cell r="K17" t="str">
            <v>******</v>
          </cell>
          <cell r="L17" t="str">
            <v>******</v>
          </cell>
          <cell r="M17" t="str">
            <v xml:space="preserve"> </v>
          </cell>
        </row>
        <row r="18">
          <cell r="C18" t="str">
            <v xml:space="preserve">   CCS</v>
          </cell>
          <cell r="D18" t="str">
            <v>****</v>
          </cell>
          <cell r="E18" t="str">
            <v>******</v>
          </cell>
          <cell r="F18" t="str">
            <v>******</v>
          </cell>
          <cell r="G18" t="str">
            <v>******</v>
          </cell>
          <cell r="H18" t="str">
            <v>******</v>
          </cell>
          <cell r="I18" t="str">
            <v>******</v>
          </cell>
          <cell r="J18" t="str">
            <v>******</v>
          </cell>
          <cell r="K18" t="str">
            <v>******</v>
          </cell>
          <cell r="L18" t="str">
            <v>******</v>
          </cell>
        </row>
        <row r="19">
          <cell r="C19" t="str">
            <v xml:space="preserve">     DE</v>
          </cell>
        </row>
        <row r="20">
          <cell r="C20" t="str">
            <v>GA: BOR</v>
          </cell>
          <cell r="D20" t="str">
            <v>****</v>
          </cell>
          <cell r="E20" t="str">
            <v>******</v>
          </cell>
          <cell r="F20" t="str">
            <v>******</v>
          </cell>
          <cell r="G20" t="str">
            <v>******</v>
          </cell>
          <cell r="H20" t="str">
            <v>******</v>
          </cell>
          <cell r="I20" t="str">
            <v>******</v>
          </cell>
          <cell r="J20" t="str">
            <v>******</v>
          </cell>
          <cell r="K20" t="str">
            <v>******</v>
          </cell>
          <cell r="L20" t="str">
            <v>******</v>
          </cell>
          <cell r="M20" t="str">
            <v xml:space="preserve"> </v>
          </cell>
        </row>
        <row r="21">
          <cell r="C21" t="str">
            <v xml:space="preserve">       DTAE</v>
          </cell>
          <cell r="D21" t="str">
            <v>****</v>
          </cell>
          <cell r="E21" t="str">
            <v>******</v>
          </cell>
          <cell r="F21" t="str">
            <v>******</v>
          </cell>
          <cell r="G21" t="str">
            <v>******</v>
          </cell>
          <cell r="H21" t="str">
            <v>******</v>
          </cell>
          <cell r="I21" t="str">
            <v>******</v>
          </cell>
          <cell r="J21" t="str">
            <v>****</v>
          </cell>
          <cell r="K21" t="str">
            <v>****</v>
          </cell>
          <cell r="L21" t="str">
            <v>****</v>
          </cell>
          <cell r="M21" t="str">
            <v xml:space="preserve"> </v>
          </cell>
        </row>
        <row r="22">
          <cell r="C22" t="str">
            <v>KY: CPE</v>
          </cell>
          <cell r="D22" t="str">
            <v>****</v>
          </cell>
          <cell r="E22" t="str">
            <v>******</v>
          </cell>
          <cell r="F22" t="str">
            <v>******</v>
          </cell>
          <cell r="G22" t="str">
            <v>******</v>
          </cell>
          <cell r="H22" t="str">
            <v>******</v>
          </cell>
          <cell r="I22" t="str">
            <v>******</v>
          </cell>
          <cell r="J22" t="str">
            <v>******</v>
          </cell>
          <cell r="K22" t="str">
            <v>******</v>
          </cell>
          <cell r="L22" t="str">
            <v>******</v>
          </cell>
          <cell r="M22" t="str">
            <v xml:space="preserve"> </v>
          </cell>
        </row>
        <row r="23">
          <cell r="C23" t="str">
            <v>LA: BOR</v>
          </cell>
          <cell r="D23" t="str">
            <v>****</v>
          </cell>
          <cell r="E23" t="str">
            <v>******</v>
          </cell>
          <cell r="F23" t="str">
            <v>******</v>
          </cell>
          <cell r="G23" t="str">
            <v>******</v>
          </cell>
          <cell r="H23" t="str">
            <v>******</v>
          </cell>
          <cell r="I23" t="str">
            <v>******</v>
          </cell>
          <cell r="J23" t="str">
            <v>******</v>
          </cell>
          <cell r="K23" t="str">
            <v>******</v>
          </cell>
          <cell r="L23" t="str">
            <v>******</v>
          </cell>
          <cell r="M23" t="str">
            <v xml:space="preserve"> </v>
          </cell>
        </row>
        <row r="24">
          <cell r="C24" t="str">
            <v>MD: HEC</v>
          </cell>
          <cell r="D24" t="str">
            <v>****</v>
          </cell>
          <cell r="E24" t="str">
            <v>******</v>
          </cell>
          <cell r="F24" t="str">
            <v>******</v>
          </cell>
          <cell r="G24" t="str">
            <v>******</v>
          </cell>
          <cell r="H24" t="str">
            <v>******</v>
          </cell>
          <cell r="I24" t="str">
            <v>******</v>
          </cell>
          <cell r="J24" t="str">
            <v>******</v>
          </cell>
          <cell r="K24" t="str">
            <v>******</v>
          </cell>
          <cell r="L24" t="str">
            <v>******</v>
          </cell>
          <cell r="M24" t="str">
            <v xml:space="preserve"> </v>
          </cell>
        </row>
        <row r="25">
          <cell r="C25" t="str">
            <v>MS:IHL</v>
          </cell>
          <cell r="D25" t="str">
            <v>****</v>
          </cell>
          <cell r="E25" t="str">
            <v>******</v>
          </cell>
          <cell r="F25" t="str">
            <v>******</v>
          </cell>
          <cell r="G25" t="str">
            <v>******</v>
          </cell>
          <cell r="H25" t="str">
            <v>******</v>
          </cell>
          <cell r="I25" t="str">
            <v>******</v>
          </cell>
          <cell r="J25" t="str">
            <v>******</v>
          </cell>
          <cell r="K25" t="str">
            <v>******</v>
          </cell>
          <cell r="L25" t="str">
            <v>******</v>
          </cell>
          <cell r="M25" t="str">
            <v xml:space="preserve"> </v>
          </cell>
        </row>
        <row r="26">
          <cell r="C26" t="str">
            <v xml:space="preserve">       SBCJC</v>
          </cell>
          <cell r="D26" t="str">
            <v>****</v>
          </cell>
          <cell r="E26" t="str">
            <v>******</v>
          </cell>
          <cell r="F26" t="str">
            <v>******</v>
          </cell>
          <cell r="G26" t="str">
            <v>******</v>
          </cell>
          <cell r="H26" t="str">
            <v>******</v>
          </cell>
          <cell r="I26" t="str">
            <v>******</v>
          </cell>
          <cell r="J26" t="str">
            <v>******</v>
          </cell>
          <cell r="K26" t="str">
            <v>******</v>
          </cell>
          <cell r="L26" t="str">
            <v>******</v>
          </cell>
          <cell r="M26" t="str">
            <v xml:space="preserve"> </v>
          </cell>
        </row>
        <row r="27">
          <cell r="C27" t="str">
            <v>NC: UNCGA</v>
          </cell>
          <cell r="D27" t="str">
            <v>****</v>
          </cell>
          <cell r="E27" t="str">
            <v>******</v>
          </cell>
          <cell r="F27" t="str">
            <v>******</v>
          </cell>
          <cell r="G27" t="str">
            <v>******</v>
          </cell>
          <cell r="H27" t="str">
            <v>******</v>
          </cell>
          <cell r="I27" t="str">
            <v>******</v>
          </cell>
          <cell r="J27" t="str">
            <v>******</v>
          </cell>
          <cell r="K27" t="str">
            <v>******</v>
          </cell>
          <cell r="L27" t="str">
            <v>******</v>
          </cell>
          <cell r="M27" t="str">
            <v xml:space="preserve"> </v>
          </cell>
        </row>
        <row r="28">
          <cell r="C28" t="str">
            <v xml:space="preserve">        CCS</v>
          </cell>
          <cell r="D28" t="str">
            <v>******</v>
          </cell>
          <cell r="E28" t="str">
            <v>******</v>
          </cell>
          <cell r="F28" t="str">
            <v>******</v>
          </cell>
          <cell r="G28" t="str">
            <v>******</v>
          </cell>
          <cell r="H28" t="str">
            <v>******</v>
          </cell>
          <cell r="I28" t="str">
            <v>******</v>
          </cell>
          <cell r="J28" t="str">
            <v>******</v>
          </cell>
          <cell r="K28" t="str">
            <v>******</v>
          </cell>
          <cell r="L28" t="str">
            <v>******</v>
          </cell>
        </row>
        <row r="29">
          <cell r="A29" t="str">
            <v>early Aug.</v>
          </cell>
          <cell r="C29" t="str">
            <v>OK: HE</v>
          </cell>
          <cell r="D29" t="str">
            <v>****</v>
          </cell>
          <cell r="E29" t="str">
            <v>******</v>
          </cell>
          <cell r="F29" t="str">
            <v>******</v>
          </cell>
          <cell r="G29" t="str">
            <v>******</v>
          </cell>
          <cell r="H29" t="str">
            <v>****</v>
          </cell>
          <cell r="I29" t="str">
            <v>****</v>
          </cell>
          <cell r="J29" t="str">
            <v>****</v>
          </cell>
          <cell r="K29" t="str">
            <v>****</v>
          </cell>
          <cell r="L29" t="str">
            <v>****</v>
          </cell>
        </row>
        <row r="30">
          <cell r="C30" t="str">
            <v xml:space="preserve">   DCTE</v>
          </cell>
          <cell r="D30" t="str">
            <v>****</v>
          </cell>
          <cell r="E30" t="str">
            <v>****</v>
          </cell>
          <cell r="G30" t="str">
            <v>****</v>
          </cell>
        </row>
        <row r="31">
          <cell r="C31" t="str">
            <v>SC: CHE</v>
          </cell>
          <cell r="D31" t="str">
            <v>****</v>
          </cell>
          <cell r="E31" t="str">
            <v>******</v>
          </cell>
          <cell r="F31" t="str">
            <v>******</v>
          </cell>
          <cell r="G31" t="str">
            <v>******</v>
          </cell>
          <cell r="H31" t="str">
            <v>******</v>
          </cell>
          <cell r="I31" t="str">
            <v>******</v>
          </cell>
          <cell r="J31" t="str">
            <v>******</v>
          </cell>
          <cell r="K31" t="str">
            <v>******</v>
          </cell>
          <cell r="L31" t="str">
            <v>******</v>
          </cell>
        </row>
        <row r="32">
          <cell r="C32" t="str">
            <v>TN: HEC</v>
          </cell>
          <cell r="D32" t="str">
            <v>****</v>
          </cell>
          <cell r="E32" t="str">
            <v>****</v>
          </cell>
          <cell r="F32" t="str">
            <v>****</v>
          </cell>
          <cell r="G32" t="str">
            <v>******</v>
          </cell>
          <cell r="H32" t="str">
            <v>******</v>
          </cell>
          <cell r="I32" t="str">
            <v>******</v>
          </cell>
          <cell r="J32" t="str">
            <v>******</v>
          </cell>
          <cell r="K32" t="str">
            <v>******</v>
          </cell>
          <cell r="L32" t="str">
            <v>******</v>
          </cell>
        </row>
        <row r="33">
          <cell r="C33" t="str">
            <v>TX: HECB</v>
          </cell>
          <cell r="D33" t="str">
            <v>****</v>
          </cell>
          <cell r="E33" t="str">
            <v>****</v>
          </cell>
          <cell r="F33" t="str">
            <v>****</v>
          </cell>
          <cell r="G33" t="str">
            <v>******</v>
          </cell>
          <cell r="H33" t="str">
            <v>******</v>
          </cell>
          <cell r="I33" t="str">
            <v>****</v>
          </cell>
          <cell r="J33" t="str">
            <v>******</v>
          </cell>
          <cell r="K33" t="str">
            <v>******</v>
          </cell>
          <cell r="L33" t="str">
            <v>******</v>
          </cell>
        </row>
        <row r="34">
          <cell r="C34" t="str">
            <v>VA: SCHEV</v>
          </cell>
          <cell r="D34" t="str">
            <v>******</v>
          </cell>
          <cell r="E34" t="str">
            <v>******</v>
          </cell>
          <cell r="F34" t="str">
            <v>******</v>
          </cell>
          <cell r="G34" t="str">
            <v>******</v>
          </cell>
          <cell r="H34" t="str">
            <v>******</v>
          </cell>
          <cell r="I34" t="str">
            <v>******</v>
          </cell>
          <cell r="J34" t="str">
            <v>******</v>
          </cell>
          <cell r="K34" t="str">
            <v>******</v>
          </cell>
          <cell r="L34" t="str">
            <v>******</v>
          </cell>
          <cell r="M34" t="str">
            <v xml:space="preserve"> </v>
          </cell>
        </row>
        <row r="35">
          <cell r="C35" t="str">
            <v>WV: HEPC</v>
          </cell>
          <cell r="D35" t="str">
            <v>****</v>
          </cell>
          <cell r="E35" t="str">
            <v>******</v>
          </cell>
          <cell r="F35" t="str">
            <v>******</v>
          </cell>
          <cell r="G35" t="str">
            <v>******</v>
          </cell>
          <cell r="H35" t="str">
            <v>******</v>
          </cell>
          <cell r="I35" t="str">
            <v>******</v>
          </cell>
          <cell r="J35" t="str">
            <v>******</v>
          </cell>
          <cell r="K35" t="str">
            <v>******</v>
          </cell>
          <cell r="L35" t="str">
            <v>******</v>
          </cell>
          <cell r="M35" t="str">
            <v xml:space="preserve"> </v>
          </cell>
        </row>
        <row r="36">
          <cell r="C36" t="str">
            <v xml:space="preserve">    DE</v>
          </cell>
        </row>
        <row r="38">
          <cell r="C38" t="str">
            <v>KEY:</v>
          </cell>
          <cell r="D38" t="str">
            <v>****</v>
          </cell>
          <cell r="E38" t="str">
            <v>= received</v>
          </cell>
          <cell r="G38" t="str">
            <v>****</v>
          </cell>
          <cell r="H38" t="str">
            <v>= review package sent</v>
          </cell>
          <cell r="L38" t="str">
            <v>****</v>
          </cell>
          <cell r="M38" t="str">
            <v xml:space="preserve"> = verified/revised</v>
          </cell>
        </row>
        <row r="39">
          <cell r="D39" t="str">
            <v>****</v>
          </cell>
          <cell r="E39" t="str">
            <v>= entered</v>
          </cell>
        </row>
      </sheetData>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Completions"/>
      <sheetName val="2. Student Progression"/>
      <sheetName val="3. Student Credit Hours"/>
      <sheetName val="4. E-learning credit hours"/>
      <sheetName val="5. Public Funds"/>
      <sheetName val="6. Tuition &amp; Fees Data"/>
      <sheetName val="7. Tuition &amp; Fees Policies"/>
      <sheetName val="8. Faculty Salaries"/>
      <sheetName val="9.  Faculty Benefits"/>
      <sheetName val="10. Benefits Descript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marks" refreshedDate="40191.486107175922" createdVersion="3" refreshedVersion="3" minRefreshableVersion="3" recordCount="623">
  <cacheSource type="worksheet">
    <worksheetSource ref="A4:AF627" sheet="E-learning credit hours"/>
  </cacheSource>
  <cacheFields count="73">
    <cacheField name="State" numFmtId="49">
      <sharedItems containsBlank="1" count="17">
        <s v="AL"/>
        <s v="AR"/>
        <s v="DE"/>
        <s v="FL"/>
        <s v="GA"/>
        <s v="KY"/>
        <s v="LA"/>
        <s v="MD"/>
        <s v="MS"/>
        <s v="NC"/>
        <s v="OK"/>
        <s v="SC"/>
        <s v="TN"/>
        <s v="TX"/>
        <s v="VA"/>
        <s v="WV"/>
        <m u="1"/>
      </sharedItems>
    </cacheField>
    <cacheField name="Institution" numFmtId="0">
      <sharedItems/>
    </cacheField>
    <cacheField name="ID" numFmtId="49">
      <sharedItems containsBlank="1" containsMixedTypes="1" containsNumber="1" containsInteger="1" minValue="100654" maxValue="447689"/>
    </cacheField>
    <cacheField name="type" numFmtId="0">
      <sharedItems containsSemiMixedTypes="0" containsString="0" containsNumber="1" containsInteger="1" minValue="1" maxValue="16" count="15">
        <n v="1"/>
        <n v="2"/>
        <n v="3"/>
        <n v="4"/>
        <n v="5"/>
        <n v="6"/>
        <n v="8"/>
        <n v="9"/>
        <n v="10"/>
        <n v="12"/>
        <n v="13"/>
        <n v="7"/>
        <n v="15"/>
        <n v="14"/>
        <n v="16" u="1"/>
      </sharedItems>
      <fieldGroup par="32"/>
    </cacheField>
    <cacheField name="OLD-Tot UG SCH Calc" numFmtId="3">
      <sharedItems containsSemiMixedTypes="0" containsString="0" containsNumber="1" minValue="0" maxValue="1281222"/>
    </cacheField>
    <cacheField name="NEW-Tot UG SCH Calc" numFmtId="3">
      <sharedItems containsSemiMixedTypes="0" containsString="0" containsNumber="1" minValue="0" maxValue="1354186"/>
    </cacheField>
    <cacheField name="Old-UG OnC Trad" numFmtId="3">
      <sharedItems containsString="0" containsBlank="1" containsNumber="1" minValue="868" maxValue="1192055"/>
    </cacheField>
    <cacheField name="New-UG OnC Trad" numFmtId="0">
      <sharedItems containsBlank="1" containsMixedTypes="1" containsNumber="1" minValue="0" maxValue="1255089"/>
    </cacheField>
    <cacheField name="Old-UG OffC Trad" numFmtId="3">
      <sharedItems containsBlank="1" containsMixedTypes="1" containsNumber="1" minValue="0" maxValue="231304"/>
    </cacheField>
    <cacheField name="New-UG OffC Trad" numFmtId="0">
      <sharedItems containsString="0" containsBlank="1" containsNumber="1" minValue="0" maxValue="249759"/>
    </cacheField>
    <cacheField name="Old-UG EL Web" numFmtId="3">
      <sharedItems containsString="0" containsBlank="1" containsNumber="1" minValue="0" maxValue="293209"/>
    </cacheField>
    <cacheField name="Old-UG EL CV" numFmtId="3">
      <sharedItems containsString="0" containsBlank="1" containsNumber="1" minValue="0" maxValue="15665"/>
    </cacheField>
    <cacheField name="Old-UG EL O" numFmtId="3">
      <sharedItems containsString="0" containsBlank="1" containsNumber="1" minValue="0" maxValue="193767"/>
    </cacheField>
    <cacheField name="New-UG EL Web" numFmtId="0">
      <sharedItems containsString="0" containsBlank="1" containsNumber="1" minValue="0" maxValue="293250"/>
    </cacheField>
    <cacheField name="New-UG EL CV" numFmtId="0">
      <sharedItems containsBlank="1" containsMixedTypes="1" containsNumber="1" minValue="0" maxValue="31297"/>
    </cacheField>
    <cacheField name="New-UG EL O" numFmtId="0">
      <sharedItems containsString="0" containsBlank="1" containsNumber="1" minValue="0" maxValue="155476"/>
    </cacheField>
    <cacheField name="Old-UG Cor" numFmtId="3">
      <sharedItems containsString="0" containsBlank="1" containsNumber="1" containsInteger="1" minValue="0" maxValue="36946"/>
    </cacheField>
    <cacheField name="New-UG Cor" numFmtId="0">
      <sharedItems containsString="0" containsBlank="1" containsNumber="1" containsInteger="1" minValue="0" maxValue="38890"/>
    </cacheField>
    <cacheField name="Old-Tot G SCH Calc" numFmtId="3">
      <sharedItems containsSemiMixedTypes="0" containsString="0" containsNumber="1" minValue="0" maxValue="299763"/>
    </cacheField>
    <cacheField name="New-Tot G SCH Calc" numFmtId="3">
      <sharedItems containsSemiMixedTypes="0" containsString="0" containsNumber="1" minValue="0" maxValue="305799"/>
    </cacheField>
    <cacheField name="Old-G OnC Trad" numFmtId="3">
      <sharedItems containsString="0" containsBlank="1" containsNumber="1" minValue="0" maxValue="264696"/>
    </cacheField>
    <cacheField name="New-G OnC Trad" numFmtId="0">
      <sharedItems containsString="0" containsBlank="1" containsNumber="1" minValue="2" maxValue="261741"/>
    </cacheField>
    <cacheField name="Old-G OffC Trad" numFmtId="3">
      <sharedItems containsString="0" containsBlank="1" containsNumber="1" containsInteger="1" minValue="0" maxValue="38733"/>
    </cacheField>
    <cacheField name="New-G OffC Trad" numFmtId="0">
      <sharedItems containsString="0" containsBlank="1" containsNumber="1" minValue="0" maxValue="38427"/>
    </cacheField>
    <cacheField name="Old-G EL Web" numFmtId="3">
      <sharedItems containsString="0" containsBlank="1" containsNumber="1" minValue="0" maxValue="109965"/>
    </cacheField>
    <cacheField name="Old-G EL CV" numFmtId="3">
      <sharedItems containsString="0" containsBlank="1" containsNumber="1" minValue="0" maxValue="24633"/>
    </cacheField>
    <cacheField name="Old-G EL O" numFmtId="3">
      <sharedItems containsString="0" containsBlank="1" containsNumber="1" containsInteger="1" minValue="0" maxValue="22568"/>
    </cacheField>
    <cacheField name="New-G EL Web" numFmtId="0">
      <sharedItems containsString="0" containsBlank="1" containsNumber="1" containsInteger="1" minValue="0" maxValue="103308"/>
    </cacheField>
    <cacheField name="New-G EL CV" numFmtId="0">
      <sharedItems containsString="0" containsBlank="1" containsNumber="1" minValue="0" maxValue="3369"/>
    </cacheField>
    <cacheField name="New-G EL O" numFmtId="0">
      <sharedItems containsBlank="1" containsMixedTypes="1" containsNumber="1" containsInteger="1" minValue="0" maxValue="53685"/>
    </cacheField>
    <cacheField name="Old-G Cor" numFmtId="3">
      <sharedItems containsString="0" containsBlank="1" containsNumber="1" containsInteger="1" minValue="0" maxValue="72"/>
    </cacheField>
    <cacheField name="New-G Cor" numFmtId="3">
      <sharedItems containsString="0" containsBlank="1" containsNumber="1" containsInteger="1" minValue="0" maxValue="7469"/>
    </cacheField>
    <cacheField name="Type2" numFmtId="0" databaseField="0">
      <fieldGroup base="3">
        <discretePr count="15">
          <x v="2"/>
          <x v="2"/>
          <x v="2"/>
          <x v="2"/>
          <x v="2"/>
          <x v="2"/>
          <x v="1"/>
          <x v="1"/>
          <x v="1"/>
          <x v="3"/>
          <x v="3"/>
          <x v="1"/>
          <x v="2"/>
          <x v="3"/>
          <x v="0"/>
        </discretePr>
        <groupItems count="4">
          <n v="16"/>
          <s v="Group2"/>
          <s v="Group1"/>
          <s v="Group3"/>
        </groupItems>
      </fieldGroup>
    </cacheField>
    <cacheField name="Old %UG OnC Trad" numFmtId="0" formula="IF('OLD-Tot UG SCH Calc'&gt;0,'Old-UG OnC Trad'/'OLD-Tot UG SCH Calc',)" databaseField="0"/>
    <cacheField name="New %UG OnC Trad" numFmtId="0" formula="IF('NEW-Tot UG SCH Calc'&gt;0,'New-UG OnC Trad'/'NEW-Tot UG SCH Calc',)" databaseField="0"/>
    <cacheField name="New %UG OffC Trad" numFmtId="0" formula="IF('NEW-Tot UG SCH Calc'&gt;0,'New-UG OffC Trad'/'NEW-Tot UG SCH Calc',)" databaseField="0"/>
    <cacheField name="Old %UG OffC Trad" numFmtId="0" formula="IF('OLD-Tot UG SCH Calc'&gt;0,'Old-UG OffC Trad'/'OLD-Tot UG SCH Calc',)" databaseField="0"/>
    <cacheField name="Old %G OffC Trad" numFmtId="0" formula="IF('Old-Tot G SCH Calc'&gt;0,'Old-G OffC Trad'/'Old-Tot G SCH Calc',)" databaseField="0"/>
    <cacheField name="Old %G OnC Trad" numFmtId="0" formula="IF('Old-Tot G SCH Calc'&gt;0,'Old-G OnC Trad'/'Old-Tot G SCH Calc',)" databaseField="0"/>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s>
</pivotCacheDefinition>
</file>

<file path=xl/pivotCache/pivotCacheRecords1.xml><?xml version="1.0" encoding="utf-8"?>
<pivotCacheRecords xmlns="http://schemas.openxmlformats.org/spreadsheetml/2006/main" xmlns:r="http://schemas.openxmlformats.org/officeDocument/2006/relationships" count="623">
  <r>
    <x v="0"/>
    <s v="Auburn University"/>
    <n v="100858"/>
    <x v="0"/>
    <n v="569637"/>
    <n v="577366"/>
    <n v="568046"/>
    <n v="573530"/>
    <n v="216"/>
    <n v="178"/>
    <n v="1375"/>
    <m/>
    <m/>
    <n v="1790"/>
    <m/>
    <n v="1839"/>
    <n v="0"/>
    <n v="29"/>
    <n v="78821"/>
    <n v="83821"/>
    <n v="71516"/>
    <n v="74262"/>
    <n v="0"/>
    <m/>
    <n v="127"/>
    <n v="1815"/>
    <n v="5363"/>
    <n v="2337"/>
    <n v="716"/>
    <n v="6506"/>
    <n v="0"/>
    <m/>
  </r>
  <r>
    <x v="0"/>
    <s v="University of Alabama "/>
    <n v="100751"/>
    <x v="0"/>
    <n v="593686"/>
    <n v="636100"/>
    <n v="566615"/>
    <n v="601571"/>
    <n v="232"/>
    <n v="122"/>
    <n v="25398"/>
    <n v="801"/>
    <n v="0"/>
    <n v="33599"/>
    <n v="604"/>
    <n v="0"/>
    <n v="640"/>
    <n v="204"/>
    <n v="90592"/>
    <n v="88589"/>
    <n v="74648"/>
    <n v="72608"/>
    <n v="8363"/>
    <n v="6455"/>
    <n v="6747"/>
    <n v="834"/>
    <n v="0"/>
    <n v="8911"/>
    <n v="615"/>
    <m/>
    <n v="0"/>
    <m/>
  </r>
  <r>
    <x v="0"/>
    <s v="University of Alabama at Birmingham"/>
    <n v="100663"/>
    <x v="0"/>
    <n v="266777"/>
    <n v="251683"/>
    <n v="256516"/>
    <n v="240585"/>
    <n v="229"/>
    <n v="230"/>
    <n v="9999"/>
    <n v="33"/>
    <n v="0"/>
    <n v="10868"/>
    <m/>
    <m/>
    <m/>
    <m/>
    <n v="42069"/>
    <n v="43272"/>
    <n v="39876"/>
    <n v="41345"/>
    <n v="489"/>
    <n v="567"/>
    <n v="1575"/>
    <n v="129"/>
    <m/>
    <n v="1333"/>
    <n v="27"/>
    <m/>
    <m/>
    <m/>
  </r>
  <r>
    <x v="0"/>
    <s v="University of Alabama in Huntsville"/>
    <n v="100706"/>
    <x v="1"/>
    <n v="146658"/>
    <n v="149784"/>
    <n v="145344"/>
    <n v="147660"/>
    <m/>
    <m/>
    <n v="1314"/>
    <m/>
    <m/>
    <n v="2124"/>
    <m/>
    <m/>
    <m/>
    <m/>
    <n v="20696"/>
    <n v="21246"/>
    <n v="18006"/>
    <n v="18605"/>
    <m/>
    <m/>
    <n v="2654"/>
    <n v="36"/>
    <m/>
    <n v="2626"/>
    <m/>
    <n v="15"/>
    <m/>
    <m/>
  </r>
  <r>
    <x v="0"/>
    <s v="Alabama Agricultural &amp; Mechanical University"/>
    <n v="100654"/>
    <x v="2"/>
    <n v="0"/>
    <n v="0"/>
    <m/>
    <s v="???"/>
    <m/>
    <m/>
    <m/>
    <m/>
    <m/>
    <m/>
    <m/>
    <m/>
    <m/>
    <m/>
    <n v="0"/>
    <n v="0"/>
    <m/>
    <m/>
    <m/>
    <m/>
    <m/>
    <m/>
    <m/>
    <m/>
    <m/>
    <m/>
    <m/>
    <m/>
  </r>
  <r>
    <x v="0"/>
    <s v="Jacksonville State University "/>
    <n v="101480"/>
    <x v="2"/>
    <n v="198262"/>
    <n v="205495"/>
    <n v="171976"/>
    <n v="172339"/>
    <n v="1929"/>
    <n v="2278"/>
    <n v="23350"/>
    <n v="1007"/>
    <m/>
    <n v="28639"/>
    <n v="2239"/>
    <m/>
    <m/>
    <m/>
    <n v="23737"/>
    <n v="21752"/>
    <n v="13067"/>
    <n v="11668"/>
    <n v="561"/>
    <n v="60"/>
    <n v="9512"/>
    <n v="597"/>
    <m/>
    <n v="9562"/>
    <n v="462"/>
    <m/>
    <m/>
    <m/>
  </r>
  <r>
    <x v="0"/>
    <s v="University of South Alabama"/>
    <n v="102094"/>
    <x v="2"/>
    <n v="246624"/>
    <n v="258116"/>
    <n v="239784"/>
    <n v="250624"/>
    <n v="318"/>
    <n v="466"/>
    <n v="6522"/>
    <m/>
    <m/>
    <n v="7026"/>
    <m/>
    <m/>
    <m/>
    <m/>
    <n v="24675"/>
    <n v="21130"/>
    <n v="20577"/>
    <n v="18170"/>
    <m/>
    <m/>
    <n v="4098"/>
    <m/>
    <m/>
    <n v="2960"/>
    <m/>
    <m/>
    <m/>
    <m/>
  </r>
  <r>
    <x v="0"/>
    <s v="Alabama State University "/>
    <n v="100724"/>
    <x v="3"/>
    <n v="136525"/>
    <n v="140544"/>
    <n v="136093"/>
    <n v="140070"/>
    <m/>
    <m/>
    <n v="432"/>
    <m/>
    <m/>
    <n v="474"/>
    <m/>
    <m/>
    <m/>
    <m/>
    <n v="17177"/>
    <n v="17316"/>
    <n v="14519"/>
    <n v="14537"/>
    <n v="1887"/>
    <n v="1722"/>
    <n v="462"/>
    <n v="309"/>
    <m/>
    <n v="799"/>
    <n v="258"/>
    <m/>
    <m/>
    <m/>
  </r>
  <r>
    <x v="0"/>
    <s v="Auburn University at Montgomery"/>
    <n v="100830"/>
    <x v="3"/>
    <n v="110651"/>
    <n v="113759"/>
    <n v="108931"/>
    <n v="107436"/>
    <n v="375"/>
    <n v="1990"/>
    <n v="1345"/>
    <m/>
    <m/>
    <n v="4333"/>
    <m/>
    <m/>
    <m/>
    <m/>
    <n v="12347"/>
    <n v="13324"/>
    <n v="11535"/>
    <n v="11555"/>
    <n v="48"/>
    <n v="516"/>
    <n v="764"/>
    <m/>
    <m/>
    <n v="1253"/>
    <m/>
    <m/>
    <m/>
    <m/>
  </r>
  <r>
    <x v="0"/>
    <s v="Troy University"/>
    <n v="102368"/>
    <x v="2"/>
    <n v="303809"/>
    <n v="303688"/>
    <n v="192302"/>
    <n v="228166"/>
    <n v="6740"/>
    <n v="4587"/>
    <n v="98808"/>
    <n v="4323"/>
    <n v="0"/>
    <n v="67748"/>
    <n v="3115"/>
    <m/>
    <n v="1636"/>
    <n v="72"/>
    <n v="47747"/>
    <n v="52790"/>
    <n v="31212"/>
    <n v="37480"/>
    <n v="1938"/>
    <n v="2472"/>
    <n v="14077"/>
    <n v="520"/>
    <n v="0"/>
    <n v="10242"/>
    <n v="2596"/>
    <m/>
    <n v="0"/>
    <m/>
  </r>
  <r>
    <x v="0"/>
    <s v="University of North Alabama"/>
    <n v="101879"/>
    <x v="3"/>
    <n v="153132"/>
    <n v="153110"/>
    <n v="136967"/>
    <n v="134940"/>
    <m/>
    <m/>
    <n v="16165"/>
    <m/>
    <m/>
    <n v="18170"/>
    <m/>
    <m/>
    <m/>
    <m/>
    <n v="21817"/>
    <n v="23387"/>
    <n v="9944"/>
    <n v="15941"/>
    <m/>
    <m/>
    <n v="7676"/>
    <n v="4197"/>
    <m/>
    <n v="7446"/>
    <m/>
    <m/>
    <m/>
    <m/>
  </r>
  <r>
    <x v="0"/>
    <s v="University of Montevallo"/>
    <n v="101709"/>
    <x v="4"/>
    <n v="0"/>
    <n v="71378"/>
    <m/>
    <n v="71378"/>
    <m/>
    <m/>
    <m/>
    <m/>
    <m/>
    <m/>
    <m/>
    <m/>
    <m/>
    <m/>
    <n v="0"/>
    <n v="0"/>
    <m/>
    <m/>
    <m/>
    <m/>
    <m/>
    <m/>
    <m/>
    <m/>
    <m/>
    <m/>
    <m/>
    <m/>
  </r>
  <r>
    <x v="0"/>
    <s v="University of West Alabama"/>
    <n v="101587"/>
    <x v="4"/>
    <n v="49970"/>
    <n v="50070"/>
    <n v="47478"/>
    <n v="46911"/>
    <n v="78"/>
    <n v="10"/>
    <n v="2414"/>
    <m/>
    <m/>
    <n v="3149"/>
    <m/>
    <m/>
    <m/>
    <m/>
    <n v="29054"/>
    <n v="41822"/>
    <n v="4591"/>
    <n v="5361"/>
    <n v="246"/>
    <n v="332"/>
    <n v="24217"/>
    <m/>
    <m/>
    <n v="36129"/>
    <m/>
    <m/>
    <m/>
    <m/>
  </r>
  <r>
    <x v="0"/>
    <s v="Athens State University"/>
    <n v="100812"/>
    <x v="5"/>
    <n v="73579"/>
    <n v="79691"/>
    <n v="22073"/>
    <n v="20672"/>
    <n v="5039"/>
    <n v="4348"/>
    <n v="46467"/>
    <m/>
    <m/>
    <n v="54671"/>
    <m/>
    <m/>
    <m/>
    <m/>
    <n v="0"/>
    <n v="0"/>
    <m/>
    <m/>
    <m/>
    <m/>
    <m/>
    <m/>
    <m/>
    <m/>
    <m/>
    <m/>
    <m/>
    <m/>
  </r>
  <r>
    <x v="0"/>
    <s v="Jefferson State Community College"/>
    <n v="101505"/>
    <x v="6"/>
    <n v="167122"/>
    <n v="170457"/>
    <n v="130313"/>
    <n v="128110"/>
    <n v="14041"/>
    <n v="16470"/>
    <n v="21225"/>
    <n v="1543"/>
    <n v="0"/>
    <n v="24535"/>
    <n v="1342"/>
    <n v="0"/>
    <m/>
    <m/>
    <n v="0"/>
    <n v="0"/>
    <m/>
    <m/>
    <m/>
    <m/>
    <m/>
    <m/>
    <m/>
    <m/>
    <m/>
    <m/>
    <m/>
    <m/>
  </r>
  <r>
    <x v="0"/>
    <s v="John C. Calhoun State Community College "/>
    <n v="101514"/>
    <x v="6"/>
    <n v="186195"/>
    <n v="204854"/>
    <n v="162352"/>
    <n v="182136"/>
    <n v="3443"/>
    <n v="2065"/>
    <n v="20341"/>
    <n v="0"/>
    <n v="59"/>
    <n v="20653"/>
    <n v="0"/>
    <n v="0"/>
    <n v="0"/>
    <n v="0"/>
    <n v="0"/>
    <n v="0"/>
    <m/>
    <m/>
    <m/>
    <m/>
    <m/>
    <m/>
    <m/>
    <m/>
    <m/>
    <m/>
    <m/>
    <m/>
  </r>
  <r>
    <x v="0"/>
    <s v="Bevill State Community College"/>
    <n v="102429"/>
    <x v="7"/>
    <n v="106008"/>
    <n v="105907"/>
    <n v="97107"/>
    <n v="94473"/>
    <m/>
    <n v="0"/>
    <n v="6018"/>
    <n v="2618"/>
    <m/>
    <n v="7819"/>
    <n v="3325"/>
    <n v="0"/>
    <n v="265"/>
    <n v="290"/>
    <n v="0"/>
    <n v="0"/>
    <m/>
    <m/>
    <m/>
    <m/>
    <m/>
    <m/>
    <m/>
    <m/>
    <m/>
    <m/>
    <m/>
    <m/>
  </r>
  <r>
    <x v="0"/>
    <s v="Bishop State Community College"/>
    <n v="102030"/>
    <x v="7"/>
    <n v="67731"/>
    <n v="58791"/>
    <n v="55162"/>
    <n v="47419"/>
    <n v="5475"/>
    <n v="5393"/>
    <n v="7094"/>
    <m/>
    <m/>
    <n v="5979"/>
    <m/>
    <m/>
    <m/>
    <m/>
    <n v="0"/>
    <n v="0"/>
    <m/>
    <m/>
    <m/>
    <m/>
    <m/>
    <m/>
    <m/>
    <m/>
    <m/>
    <m/>
    <m/>
    <m/>
  </r>
  <r>
    <x v="0"/>
    <s v="Gadsden State Community College"/>
    <n v="101240"/>
    <x v="7"/>
    <n v="135491"/>
    <n v="141648"/>
    <n v="122986"/>
    <n v="121170"/>
    <m/>
    <n v="0"/>
    <n v="9158"/>
    <n v="770"/>
    <n v="2577"/>
    <n v="20118"/>
    <n v="360"/>
    <n v="0"/>
    <m/>
    <m/>
    <n v="0"/>
    <n v="0"/>
    <m/>
    <m/>
    <m/>
    <m/>
    <m/>
    <m/>
    <m/>
    <m/>
    <m/>
    <m/>
    <m/>
    <m/>
  </r>
  <r>
    <x v="0"/>
    <s v="George C. Wallace State Community College - Dothan"/>
    <n v="101286"/>
    <x v="7"/>
    <n v="91252"/>
    <n v="97308"/>
    <n v="82163"/>
    <n v="86236"/>
    <m/>
    <m/>
    <n v="9089"/>
    <m/>
    <m/>
    <n v="11072"/>
    <m/>
    <m/>
    <m/>
    <m/>
    <n v="0"/>
    <n v="0"/>
    <m/>
    <m/>
    <m/>
    <m/>
    <m/>
    <m/>
    <m/>
    <m/>
    <m/>
    <m/>
    <m/>
    <m/>
  </r>
  <r>
    <x v="0"/>
    <s v="James H. Faulkner State Community College"/>
    <n v="101161"/>
    <x v="7"/>
    <n v="0"/>
    <n v="93048"/>
    <m/>
    <n v="78007"/>
    <m/>
    <n v="0"/>
    <m/>
    <m/>
    <m/>
    <n v="15041"/>
    <n v="0"/>
    <n v="0"/>
    <m/>
    <n v="0"/>
    <n v="0"/>
    <n v="0"/>
    <m/>
    <m/>
    <m/>
    <m/>
    <m/>
    <m/>
    <m/>
    <m/>
    <m/>
    <m/>
    <m/>
    <m/>
  </r>
  <r>
    <x v="0"/>
    <s v="Lawson State Community College "/>
    <n v="101569"/>
    <x v="7"/>
    <n v="77595"/>
    <n v="82487"/>
    <n v="73172"/>
    <n v="78492"/>
    <m/>
    <m/>
    <n v="2483"/>
    <n v="1940"/>
    <m/>
    <n v="2237"/>
    <n v="1758"/>
    <m/>
    <m/>
    <m/>
    <n v="0"/>
    <n v="0"/>
    <m/>
    <m/>
    <m/>
    <m/>
    <m/>
    <m/>
    <m/>
    <m/>
    <m/>
    <m/>
    <m/>
    <m/>
  </r>
  <r>
    <x v="0"/>
    <s v="Northwest-Shoals Community College"/>
    <n v="101736"/>
    <x v="7"/>
    <n v="84486"/>
    <n v="87257"/>
    <n v="73607"/>
    <n v="68424"/>
    <n v="2948"/>
    <n v="8875"/>
    <n v="7061"/>
    <n v="870"/>
    <m/>
    <n v="8875"/>
    <n v="1083"/>
    <m/>
    <m/>
    <m/>
    <n v="0"/>
    <n v="0"/>
    <m/>
    <m/>
    <m/>
    <m/>
    <m/>
    <m/>
    <m/>
    <m/>
    <m/>
    <m/>
    <m/>
    <m/>
  </r>
  <r>
    <x v="0"/>
    <s v="Shelton State Community College"/>
    <n v="102067"/>
    <x v="7"/>
    <n v="132509"/>
    <n v="130394"/>
    <n v="122298"/>
    <n v="121534"/>
    <m/>
    <m/>
    <n v="10211"/>
    <m/>
    <m/>
    <n v="8860"/>
    <m/>
    <m/>
    <m/>
    <m/>
    <n v="0"/>
    <n v="0"/>
    <m/>
    <m/>
    <m/>
    <m/>
    <m/>
    <m/>
    <m/>
    <m/>
    <m/>
    <m/>
    <m/>
    <m/>
  </r>
  <r>
    <x v="0"/>
    <s v="Southern Union State Community College"/>
    <n v="251260"/>
    <x v="7"/>
    <n v="126868"/>
    <n v="130034"/>
    <n v="114189"/>
    <n v="115675"/>
    <n v="10"/>
    <n v="0"/>
    <n v="8985"/>
    <n v="1226"/>
    <n v="0"/>
    <n v="11010"/>
    <m/>
    <m/>
    <n v="2458"/>
    <n v="3349"/>
    <n v="0"/>
    <n v="0"/>
    <m/>
    <m/>
    <m/>
    <m/>
    <m/>
    <m/>
    <m/>
    <m/>
    <m/>
    <m/>
    <m/>
    <m/>
  </r>
  <r>
    <x v="0"/>
    <s v="Wallace Community College - Hanceville"/>
    <n v="101295"/>
    <x v="7"/>
    <n v="134360"/>
    <n v="141796"/>
    <n v="114282"/>
    <n v="115069"/>
    <n v="3373"/>
    <n v="6220"/>
    <n v="16457"/>
    <n v="248"/>
    <m/>
    <n v="19935"/>
    <n v="239"/>
    <n v="54"/>
    <m/>
    <n v="279"/>
    <n v="0"/>
    <n v="0"/>
    <m/>
    <m/>
    <m/>
    <m/>
    <m/>
    <m/>
    <m/>
    <m/>
    <m/>
    <m/>
    <m/>
    <m/>
  </r>
  <r>
    <x v="0"/>
    <s v="Alabama Southern Community College"/>
    <n v="101949"/>
    <x v="8"/>
    <n v="33148"/>
    <n v="33436"/>
    <n v="31739"/>
    <n v="32128"/>
    <n v="0"/>
    <n v="0"/>
    <n v="1283"/>
    <n v="126"/>
    <n v="0"/>
    <n v="1308"/>
    <n v="0"/>
    <n v="0"/>
    <n v="0"/>
    <m/>
    <n v="0"/>
    <n v="0"/>
    <m/>
    <m/>
    <m/>
    <m/>
    <m/>
    <m/>
    <m/>
    <m/>
    <m/>
    <m/>
    <m/>
    <m/>
  </r>
  <r>
    <x v="0"/>
    <s v="Central Alabama Community College"/>
    <n v="100760"/>
    <x v="8"/>
    <n v="57067"/>
    <n v="57233"/>
    <n v="49997"/>
    <n v="49454"/>
    <n v="0"/>
    <m/>
    <n v="6957"/>
    <m/>
    <m/>
    <n v="7779"/>
    <m/>
    <m/>
    <n v="113"/>
    <m/>
    <n v="0"/>
    <n v="0"/>
    <m/>
    <m/>
    <m/>
    <m/>
    <m/>
    <m/>
    <m/>
    <m/>
    <m/>
    <m/>
    <m/>
    <m/>
  </r>
  <r>
    <x v="0"/>
    <s v="Chattahoochee Valley State Community College "/>
    <n v="101028"/>
    <x v="8"/>
    <n v="0"/>
    <n v="42959"/>
    <m/>
    <n v="38343"/>
    <m/>
    <n v="0"/>
    <m/>
    <m/>
    <m/>
    <n v="4616"/>
    <n v="0"/>
    <n v="0"/>
    <m/>
    <n v="0"/>
    <n v="0"/>
    <n v="0"/>
    <m/>
    <m/>
    <m/>
    <m/>
    <m/>
    <m/>
    <m/>
    <m/>
    <m/>
    <m/>
    <m/>
    <m/>
  </r>
  <r>
    <x v="0"/>
    <s v="Enterprise-Ozark Community College"/>
    <n v="101143"/>
    <x v="8"/>
    <n v="53629"/>
    <n v="59954"/>
    <n v="47125"/>
    <n v="52506"/>
    <n v="1438"/>
    <n v="1556"/>
    <n v="5066"/>
    <n v="0"/>
    <n v="0"/>
    <n v="5892"/>
    <m/>
    <m/>
    <n v="0"/>
    <n v="0"/>
    <n v="0"/>
    <n v="0"/>
    <n v="0"/>
    <m/>
    <n v="0"/>
    <m/>
    <n v="0"/>
    <n v="0"/>
    <n v="0"/>
    <m/>
    <m/>
    <m/>
    <n v="0"/>
    <m/>
  </r>
  <r>
    <x v="0"/>
    <s v="George Corley Wallace State Community College - Selma"/>
    <n v="101301"/>
    <x v="8"/>
    <n v="47745"/>
    <n v="52513"/>
    <n v="32321"/>
    <n v="33168"/>
    <m/>
    <m/>
    <n v="15424"/>
    <m/>
    <m/>
    <n v="19345"/>
    <m/>
    <m/>
    <m/>
    <n v="0"/>
    <n v="0"/>
    <n v="0"/>
    <m/>
    <m/>
    <m/>
    <m/>
    <m/>
    <m/>
    <m/>
    <m/>
    <m/>
    <m/>
    <m/>
    <m/>
  </r>
  <r>
    <x v="0"/>
    <s v="Jefferson Davis Community College"/>
    <n v="101499"/>
    <x v="8"/>
    <n v="32630"/>
    <n v="31326"/>
    <n v="30881"/>
    <n v="29444"/>
    <n v="102"/>
    <n v="40"/>
    <n v="1647"/>
    <m/>
    <m/>
    <n v="1842"/>
    <m/>
    <m/>
    <m/>
    <m/>
    <n v="0"/>
    <n v="0"/>
    <m/>
    <m/>
    <m/>
    <m/>
    <m/>
    <m/>
    <m/>
    <m/>
    <m/>
    <m/>
    <m/>
    <m/>
  </r>
  <r>
    <x v="0"/>
    <s v="Lurleen B. Wallace Community College "/>
    <n v="101602"/>
    <x v="8"/>
    <n v="40555"/>
    <n v="42073"/>
    <n v="38495"/>
    <n v="38989"/>
    <m/>
    <m/>
    <n v="2060"/>
    <m/>
    <m/>
    <n v="3084"/>
    <m/>
    <m/>
    <m/>
    <m/>
    <n v="0"/>
    <n v="0"/>
    <m/>
    <m/>
    <m/>
    <m/>
    <m/>
    <m/>
    <m/>
    <m/>
    <m/>
    <m/>
    <m/>
    <m/>
  </r>
  <r>
    <x v="0"/>
    <s v="Northeast Alabama State Community College "/>
    <n v="101897"/>
    <x v="8"/>
    <n v="58078"/>
    <n v="62832"/>
    <n v="47382"/>
    <n v="49658"/>
    <s v=" "/>
    <m/>
    <n v="10696"/>
    <m/>
    <m/>
    <n v="13174"/>
    <m/>
    <m/>
    <m/>
    <m/>
    <n v="0"/>
    <n v="0"/>
    <m/>
    <m/>
    <m/>
    <m/>
    <m/>
    <m/>
    <m/>
    <m/>
    <m/>
    <m/>
    <m/>
    <m/>
  </r>
  <r>
    <x v="0"/>
    <s v="Snead State Community College "/>
    <n v="102076"/>
    <x v="8"/>
    <n v="51425"/>
    <n v="53690"/>
    <n v="33336"/>
    <n v="35281"/>
    <m/>
    <n v="0"/>
    <n v="18089"/>
    <m/>
    <m/>
    <n v="18409"/>
    <n v="0"/>
    <n v="0"/>
    <m/>
    <n v="0"/>
    <n v="0"/>
    <n v="0"/>
    <m/>
    <m/>
    <m/>
    <m/>
    <m/>
    <m/>
    <m/>
    <m/>
    <m/>
    <m/>
    <m/>
    <m/>
  </r>
  <r>
    <x v="0"/>
    <s v="Trenholm State Technical College "/>
    <n v="102313"/>
    <x v="9"/>
    <n v="36216"/>
    <n v="36758"/>
    <n v="32240"/>
    <n v="33638"/>
    <n v="249"/>
    <n v="0"/>
    <n v="2490"/>
    <n v="244"/>
    <n v="993"/>
    <n v="2255"/>
    <n v="45"/>
    <n v="820"/>
    <m/>
    <n v="0"/>
    <n v="0"/>
    <n v="0"/>
    <m/>
    <m/>
    <m/>
    <m/>
    <m/>
    <m/>
    <m/>
    <m/>
    <m/>
    <m/>
    <m/>
    <m/>
  </r>
  <r>
    <x v="0"/>
    <s v="J.F. Drake State Technical College "/>
    <n v="101462"/>
    <x v="10"/>
    <n v="0"/>
    <n v="0"/>
    <m/>
    <s v="???"/>
    <m/>
    <m/>
    <m/>
    <m/>
    <m/>
    <m/>
    <m/>
    <m/>
    <m/>
    <m/>
    <n v="0"/>
    <n v="0"/>
    <m/>
    <m/>
    <m/>
    <m/>
    <m/>
    <m/>
    <m/>
    <m/>
    <m/>
    <m/>
    <m/>
    <m/>
  </r>
  <r>
    <x v="0"/>
    <s v="J.F. Ingram State Technical College "/>
    <n v="101471"/>
    <x v="10"/>
    <n v="0"/>
    <n v="0"/>
    <m/>
    <s v="???"/>
    <m/>
    <m/>
    <m/>
    <m/>
    <m/>
    <m/>
    <m/>
    <m/>
    <m/>
    <m/>
    <n v="0"/>
    <n v="0"/>
    <m/>
    <m/>
    <m/>
    <m/>
    <m/>
    <m/>
    <m/>
    <m/>
    <m/>
    <m/>
    <m/>
    <m/>
  </r>
  <r>
    <x v="0"/>
    <s v="Reid State Technical College "/>
    <n v="101994"/>
    <x v="10"/>
    <n v="14398"/>
    <n v="15632"/>
    <n v="14398"/>
    <n v="15632"/>
    <n v="0"/>
    <n v="0"/>
    <n v="0"/>
    <n v="0"/>
    <n v="0"/>
    <n v="0"/>
    <n v="0"/>
    <n v="0"/>
    <n v="0"/>
    <n v="0"/>
    <n v="0"/>
    <n v="0"/>
    <m/>
    <m/>
    <m/>
    <m/>
    <m/>
    <m/>
    <m/>
    <m/>
    <m/>
    <m/>
    <m/>
    <m/>
  </r>
  <r>
    <x v="1"/>
    <s v="University of Arkansas, Fayetteville"/>
    <n v="106397"/>
    <x v="0"/>
    <n v="410119"/>
    <n v="428450"/>
    <n v="394817"/>
    <n v="409776"/>
    <n v="9153"/>
    <n v="10738"/>
    <n v="4978"/>
    <n v="1111"/>
    <n v="60"/>
    <n v="7057"/>
    <n v="744"/>
    <n v="135"/>
    <m/>
    <m/>
    <n v="68212"/>
    <n v="69769"/>
    <n v="54157"/>
    <n v="53775"/>
    <n v="4060"/>
    <n v="3692"/>
    <n v="7949"/>
    <n v="318"/>
    <n v="1728"/>
    <n v="10067"/>
    <n v="192"/>
    <n v="2043"/>
    <m/>
    <m/>
  </r>
  <r>
    <x v="1"/>
    <s v="Arkansas State University"/>
    <n v="106458"/>
    <x v="2"/>
    <n v="251807"/>
    <n v="259830"/>
    <n v="200839"/>
    <n v="203267"/>
    <n v="31901"/>
    <n v="27993"/>
    <n v="15275"/>
    <n v="3737"/>
    <n v="55"/>
    <n v="24832"/>
    <n v="3738"/>
    <n v="0"/>
    <m/>
    <m/>
    <n v="25595"/>
    <n v="28628"/>
    <n v="19890"/>
    <n v="20684"/>
    <n v="386"/>
    <n v="386"/>
    <n v="4597"/>
    <n v="722"/>
    <m/>
    <n v="6764"/>
    <n v="737"/>
    <n v="57"/>
    <m/>
    <m/>
  </r>
  <r>
    <x v="1"/>
    <s v="University of Arkansas at Little Rock"/>
    <n v="106245"/>
    <x v="2"/>
    <n v="212350"/>
    <n v="213147"/>
    <n v="159975"/>
    <n v="152593"/>
    <n v="12221"/>
    <n v="13025"/>
    <n v="38823"/>
    <m/>
    <n v="1331"/>
    <n v="46482"/>
    <n v="135"/>
    <n v="912"/>
    <m/>
    <m/>
    <n v="49314"/>
    <n v="48805"/>
    <n v="27604"/>
    <n v="25481"/>
    <n v="14602"/>
    <n v="12060"/>
    <n v="7045"/>
    <m/>
    <n v="63"/>
    <n v="11060"/>
    <n v="78"/>
    <n v="126"/>
    <m/>
    <m/>
  </r>
  <r>
    <x v="1"/>
    <s v="University of Central Arkansas "/>
    <n v="106704"/>
    <x v="2"/>
    <n v="296782"/>
    <n v="295444"/>
    <n v="288319"/>
    <n v="277837"/>
    <n v="4944"/>
    <n v="9338"/>
    <m/>
    <n v="1219"/>
    <n v="1877"/>
    <n v="0"/>
    <n v="54"/>
    <n v="6859"/>
    <n v="423"/>
    <n v="1356"/>
    <n v="32336"/>
    <n v="35378"/>
    <n v="25376"/>
    <n v="23836"/>
    <n v="699"/>
    <n v="2501"/>
    <m/>
    <n v="3214"/>
    <n v="3041"/>
    <n v="45"/>
    <n v="681"/>
    <n v="8294"/>
    <n v="6"/>
    <n v="21"/>
  </r>
  <r>
    <x v="1"/>
    <s v="Arkansas Tech University"/>
    <n v="106467"/>
    <x v="3"/>
    <n v="188034"/>
    <n v="191515"/>
    <n v="156750"/>
    <n v="150318"/>
    <n v="15991"/>
    <n v="17894"/>
    <n v="15054"/>
    <n v="214"/>
    <n v="25"/>
    <n v="23264"/>
    <n v="39"/>
    <n v="0"/>
    <m/>
    <m/>
    <n v="10587"/>
    <n v="8692"/>
    <n v="6891"/>
    <n v="5598"/>
    <n v="2082"/>
    <n v="753"/>
    <n v="1569"/>
    <n v="45"/>
    <m/>
    <n v="2317"/>
    <n v="24"/>
    <n v="0"/>
    <m/>
    <m/>
  </r>
  <r>
    <x v="1"/>
    <s v="Henderson State University"/>
    <n v="107071"/>
    <x v="3"/>
    <n v="86396"/>
    <n v="88551"/>
    <n v="84979"/>
    <n v="84843"/>
    <n v="51"/>
    <n v="242"/>
    <m/>
    <m/>
    <n v="1366"/>
    <n v="3144"/>
    <n v="0"/>
    <n v="322"/>
    <m/>
    <m/>
    <n v="10883"/>
    <n v="12295"/>
    <n v="8483"/>
    <n v="8992"/>
    <n v="2202"/>
    <n v="3183"/>
    <m/>
    <m/>
    <n v="198"/>
    <n v="102"/>
    <n v="0"/>
    <n v="18"/>
    <m/>
    <m/>
  </r>
  <r>
    <x v="1"/>
    <s v="Southern Arkansas University"/>
    <n v="107983"/>
    <x v="4"/>
    <n v="78526"/>
    <n v="75330"/>
    <n v="72905"/>
    <n v="67765"/>
    <n v="1958"/>
    <n v="2779"/>
    <n v="231"/>
    <n v="3432"/>
    <m/>
    <n v="9"/>
    <n v="4777"/>
    <n v="0"/>
    <m/>
    <m/>
    <n v="5578"/>
    <n v="7192"/>
    <n v="3829"/>
    <n v="3558"/>
    <n v="54"/>
    <n v="262"/>
    <n v="357"/>
    <n v="1338"/>
    <m/>
    <n v="3"/>
    <n v="3369"/>
    <n v="0"/>
    <m/>
    <m/>
  </r>
  <r>
    <x v="1"/>
    <s v="University of Arkansas at Fort Smith"/>
    <n v="108092"/>
    <x v="5"/>
    <n v="156795"/>
    <n v="161374"/>
    <n v="139159"/>
    <n v="136089"/>
    <n v="2080"/>
    <n v="5166"/>
    <n v="15205"/>
    <n v="351"/>
    <m/>
    <n v="19984"/>
    <n v="135"/>
    <n v="0"/>
    <m/>
    <m/>
    <n v="0"/>
    <n v="0"/>
    <m/>
    <m/>
    <m/>
    <m/>
    <m/>
    <m/>
    <m/>
    <m/>
    <m/>
    <m/>
    <m/>
    <m/>
  </r>
  <r>
    <x v="1"/>
    <s v="University of Arkansas at Monticello"/>
    <n v="106485"/>
    <x v="4"/>
    <n v="77947"/>
    <n v="79278"/>
    <n v="55084"/>
    <n v="55198"/>
    <n v="14289"/>
    <n v="15140"/>
    <n v="6066"/>
    <n v="2508"/>
    <m/>
    <n v="6417"/>
    <n v="2523"/>
    <n v="0"/>
    <m/>
    <m/>
    <n v="2417"/>
    <n v="2433"/>
    <n v="1469"/>
    <n v="1299"/>
    <n v="60"/>
    <n v="63"/>
    <n v="888"/>
    <m/>
    <m/>
    <n v="1071"/>
    <n v="0"/>
    <n v="0"/>
    <m/>
    <m/>
  </r>
  <r>
    <x v="1"/>
    <s v="University of Arkansas at Pine Bluff"/>
    <n v="106412"/>
    <x v="5"/>
    <n v="83530"/>
    <n v="89843"/>
    <n v="78480"/>
    <n v="83558"/>
    <n v="1967"/>
    <n v="1939"/>
    <m/>
    <n v="3083"/>
    <m/>
    <n v="0"/>
    <n v="4346"/>
    <n v="0"/>
    <m/>
    <m/>
    <n v="1517"/>
    <n v="2046"/>
    <n v="1325"/>
    <n v="1735"/>
    <m/>
    <n v="0"/>
    <m/>
    <n v="192"/>
    <m/>
    <n v="0"/>
    <n v="311"/>
    <n v="0"/>
    <m/>
    <m/>
  </r>
  <r>
    <x v="1"/>
    <s v="Pulaski Technical College"/>
    <n v="107664"/>
    <x v="6"/>
    <n v="183880"/>
    <n v="190235"/>
    <n v="120463"/>
    <n v="104602"/>
    <n v="19364"/>
    <n v="33090"/>
    <n v="44002"/>
    <m/>
    <m/>
    <n v="52543"/>
    <n v="0"/>
    <n v="0"/>
    <n v="51"/>
    <m/>
    <n v="0"/>
    <n v="0"/>
    <m/>
    <m/>
    <m/>
    <m/>
    <m/>
    <m/>
    <m/>
    <m/>
    <m/>
    <m/>
    <m/>
    <m/>
  </r>
  <r>
    <x v="1"/>
    <s v="Arkansas State University-Beebe"/>
    <n v="106449"/>
    <x v="7"/>
    <n v="94985"/>
    <n v="98538"/>
    <n v="47782"/>
    <n v="51333"/>
    <n v="29890"/>
    <n v="30060"/>
    <n v="17313"/>
    <m/>
    <m/>
    <n v="17145"/>
    <n v="0"/>
    <n v="0"/>
    <m/>
    <m/>
    <n v="0"/>
    <n v="0"/>
    <m/>
    <m/>
    <m/>
    <m/>
    <m/>
    <m/>
    <m/>
    <m/>
    <m/>
    <m/>
    <m/>
    <m/>
  </r>
  <r>
    <x v="1"/>
    <s v="Northwest Arkansas Community College "/>
    <n v="367459"/>
    <x v="7"/>
    <n v="114561"/>
    <n v="133007"/>
    <n v="83833"/>
    <n v="90037"/>
    <n v="15003"/>
    <n v="17229"/>
    <n v="918"/>
    <n v="635"/>
    <n v="14172"/>
    <n v="1255"/>
    <n v="504"/>
    <n v="23982"/>
    <m/>
    <m/>
    <n v="0"/>
    <n v="0"/>
    <m/>
    <m/>
    <m/>
    <m/>
    <m/>
    <m/>
    <m/>
    <m/>
    <m/>
    <m/>
    <m/>
    <m/>
  </r>
  <r>
    <x v="1"/>
    <s v="Arkansas Northeastern College"/>
    <n v="107327"/>
    <x v="8"/>
    <n v="35619"/>
    <n v="35976"/>
    <n v="28572"/>
    <n v="26730"/>
    <n v="3520"/>
    <n v="3745"/>
    <n v="2958"/>
    <n v="569"/>
    <m/>
    <n v="4995"/>
    <n v="506"/>
    <n v="0"/>
    <m/>
    <m/>
    <n v="0"/>
    <n v="0"/>
    <m/>
    <m/>
    <m/>
    <m/>
    <m/>
    <m/>
    <m/>
    <m/>
    <m/>
    <m/>
    <m/>
    <m/>
  </r>
  <r>
    <x v="1"/>
    <s v="Arkansas State University Mountain Home"/>
    <n v="420538"/>
    <x v="8"/>
    <n v="24194"/>
    <n v="27898"/>
    <n v="19420"/>
    <n v="20287"/>
    <n v="1205"/>
    <n v="1065"/>
    <n v="3107"/>
    <n v="462"/>
    <m/>
    <n v="6263"/>
    <n v="283"/>
    <n v="0"/>
    <m/>
    <m/>
    <n v="0"/>
    <n v="0"/>
    <m/>
    <m/>
    <m/>
    <m/>
    <m/>
    <m/>
    <m/>
    <m/>
    <m/>
    <m/>
    <m/>
    <m/>
  </r>
  <r>
    <x v="1"/>
    <s v="Arkansas State University-Newport"/>
    <n v="440402"/>
    <x v="8"/>
    <n v="27231"/>
    <n v="32602"/>
    <n v="15375"/>
    <n v="17414"/>
    <n v="4303"/>
    <n v="5300"/>
    <n v="7301"/>
    <m/>
    <n v="252"/>
    <n v="9888"/>
    <n v="0"/>
    <n v="0"/>
    <m/>
    <m/>
    <n v="0"/>
    <n v="0"/>
    <m/>
    <m/>
    <m/>
    <m/>
    <m/>
    <m/>
    <m/>
    <m/>
    <m/>
    <m/>
    <m/>
    <m/>
  </r>
  <r>
    <x v="1"/>
    <s v="Black River Technical College"/>
    <n v="106625"/>
    <x v="8"/>
    <n v="46439"/>
    <n v="48013"/>
    <n v="29472"/>
    <n v="30646"/>
    <n v="10122"/>
    <n v="9283"/>
    <n v="5844"/>
    <n v="1001"/>
    <m/>
    <n v="6932"/>
    <n v="1152"/>
    <n v="0"/>
    <m/>
    <m/>
    <n v="0"/>
    <n v="0"/>
    <m/>
    <m/>
    <m/>
    <m/>
    <m/>
    <m/>
    <m/>
    <m/>
    <m/>
    <m/>
    <m/>
    <m/>
  </r>
  <r>
    <x v="1"/>
    <s v="Cossatot Community College of the University of Arkansas"/>
    <n v="106795"/>
    <x v="8"/>
    <n v="25926"/>
    <n v="26995"/>
    <n v="7111"/>
    <n v="6422"/>
    <n v="5014"/>
    <n v="7401"/>
    <n v="10724"/>
    <n v="2999"/>
    <n v="78"/>
    <n v="10161"/>
    <n v="3011"/>
    <n v="0"/>
    <m/>
    <m/>
    <n v="0"/>
    <n v="0"/>
    <m/>
    <m/>
    <m/>
    <m/>
    <m/>
    <m/>
    <m/>
    <m/>
    <m/>
    <m/>
    <m/>
    <m/>
  </r>
  <r>
    <x v="1"/>
    <s v="East Arkansas Community College "/>
    <n v="106883"/>
    <x v="8"/>
    <n v="33569"/>
    <n v="32068"/>
    <n v="21766"/>
    <n v="20073"/>
    <n v="7056"/>
    <n v="6947"/>
    <n v="3519"/>
    <n v="1228"/>
    <m/>
    <n v="4152"/>
    <n v="896"/>
    <n v="0"/>
    <m/>
    <m/>
    <n v="0"/>
    <n v="0"/>
    <m/>
    <m/>
    <m/>
    <m/>
    <m/>
    <m/>
    <m/>
    <m/>
    <m/>
    <m/>
    <m/>
    <m/>
  </r>
  <r>
    <x v="1"/>
    <s v="Mid-South Community College "/>
    <n v="107318"/>
    <x v="8"/>
    <n v="27387"/>
    <n v="28966"/>
    <n v="24049"/>
    <n v="26555"/>
    <n v="2459"/>
    <n v="2003"/>
    <n v="879"/>
    <m/>
    <m/>
    <n v="408"/>
    <n v="0"/>
    <n v="0"/>
    <m/>
    <m/>
    <n v="0"/>
    <n v="0"/>
    <m/>
    <m/>
    <m/>
    <m/>
    <m/>
    <m/>
    <m/>
    <m/>
    <m/>
    <m/>
    <m/>
    <m/>
  </r>
  <r>
    <x v="1"/>
    <s v="National Park Community College"/>
    <n v="106980"/>
    <x v="8"/>
    <n v="57500"/>
    <n v="64009"/>
    <n v="51858"/>
    <n v="56603"/>
    <n v="4104"/>
    <n v="2428"/>
    <n v="1462"/>
    <n v="36"/>
    <n v="40"/>
    <n v="4978"/>
    <n v="0"/>
    <n v="0"/>
    <m/>
    <m/>
    <n v="0"/>
    <n v="0"/>
    <m/>
    <m/>
    <m/>
    <m/>
    <m/>
    <m/>
    <m/>
    <m/>
    <m/>
    <m/>
    <m/>
    <m/>
  </r>
  <r>
    <x v="1"/>
    <s v="North Arkansas College"/>
    <n v="107460"/>
    <x v="8"/>
    <n v="45693"/>
    <n v="47625"/>
    <n v="41358"/>
    <n v="42211"/>
    <n v="1146"/>
    <n v="1674"/>
    <n v="2607"/>
    <n v="582"/>
    <m/>
    <n v="3374"/>
    <n v="366"/>
    <n v="0"/>
    <m/>
    <m/>
    <n v="0"/>
    <n v="0"/>
    <m/>
    <m/>
    <m/>
    <m/>
    <m/>
    <m/>
    <m/>
    <m/>
    <m/>
    <m/>
    <m/>
    <m/>
  </r>
  <r>
    <x v="1"/>
    <s v="Ouachita Technical College "/>
    <n v="107521"/>
    <x v="8"/>
    <n v="25986"/>
    <n v="27032"/>
    <n v="17609"/>
    <n v="18049"/>
    <n v="4328"/>
    <n v="4171"/>
    <n v="4022"/>
    <n v="27"/>
    <m/>
    <n v="4665"/>
    <n v="147"/>
    <n v="0"/>
    <m/>
    <m/>
    <n v="0"/>
    <n v="0"/>
    <m/>
    <m/>
    <m/>
    <m/>
    <m/>
    <m/>
    <m/>
    <m/>
    <m/>
    <m/>
    <m/>
    <m/>
  </r>
  <r>
    <x v="1"/>
    <s v="Ozarka College "/>
    <n v="107549"/>
    <x v="8"/>
    <n v="23046"/>
    <n v="26888"/>
    <n v="14142"/>
    <n v="16518"/>
    <n v="1855"/>
    <n v="2077"/>
    <n v="3646"/>
    <n v="3001"/>
    <n v="402"/>
    <n v="5349"/>
    <n v="2944"/>
    <n v="0"/>
    <m/>
    <m/>
    <n v="0"/>
    <n v="0"/>
    <m/>
    <m/>
    <m/>
    <m/>
    <m/>
    <m/>
    <m/>
    <m/>
    <m/>
    <m/>
    <m/>
    <m/>
  </r>
  <r>
    <x v="1"/>
    <s v="Phillips Community College of the Univ of Arkansas"/>
    <n v="107619"/>
    <x v="8"/>
    <n v="39563"/>
    <n v="40066"/>
    <n v="19308"/>
    <n v="31945"/>
    <n v="16011"/>
    <n v="3863"/>
    <n v="2722"/>
    <n v="1522"/>
    <m/>
    <n v="2824"/>
    <n v="1434"/>
    <n v="0"/>
    <m/>
    <m/>
    <n v="0"/>
    <n v="0"/>
    <m/>
    <m/>
    <m/>
    <m/>
    <m/>
    <m/>
    <m/>
    <m/>
    <m/>
    <m/>
    <m/>
    <m/>
  </r>
  <r>
    <x v="1"/>
    <s v="Rich Mountain Community College "/>
    <n v="107743"/>
    <x v="8"/>
    <n v="15865"/>
    <n v="17512"/>
    <n v="11559"/>
    <n v="13075"/>
    <n v="3568"/>
    <n v="3639"/>
    <m/>
    <m/>
    <n v="738"/>
    <n v="0"/>
    <n v="798"/>
    <n v="0"/>
    <m/>
    <m/>
    <n v="0"/>
    <n v="0"/>
    <m/>
    <m/>
    <m/>
    <m/>
    <m/>
    <m/>
    <m/>
    <m/>
    <m/>
    <m/>
    <m/>
    <m/>
  </r>
  <r>
    <x v="1"/>
    <s v="South Arkansas Community College"/>
    <n v="107974"/>
    <x v="8"/>
    <n v="31048"/>
    <n v="33850"/>
    <n v="26983"/>
    <n v="29100"/>
    <n v="717"/>
    <n v="564"/>
    <n v="3338"/>
    <n v="10"/>
    <m/>
    <n v="4186"/>
    <n v="0"/>
    <n v="0"/>
    <m/>
    <m/>
    <n v="0"/>
    <n v="0"/>
    <m/>
    <m/>
    <m/>
    <m/>
    <m/>
    <m/>
    <m/>
    <m/>
    <m/>
    <m/>
    <m/>
    <m/>
  </r>
  <r>
    <x v="1"/>
    <s v="Southeast Arkansas College"/>
    <n v="107637"/>
    <x v="8"/>
    <n v="47273"/>
    <n v="45587"/>
    <n v="39856"/>
    <n v="38346"/>
    <n v="3390"/>
    <n v="3289"/>
    <n v="3790"/>
    <m/>
    <n v="237"/>
    <n v="3952"/>
    <n v="0"/>
    <n v="0"/>
    <m/>
    <m/>
    <n v="0"/>
    <n v="0"/>
    <m/>
    <m/>
    <m/>
    <m/>
    <m/>
    <m/>
    <m/>
    <m/>
    <m/>
    <m/>
    <m/>
    <m/>
  </r>
  <r>
    <x v="1"/>
    <s v="Southern Arkansas University Tech"/>
    <n v="107992"/>
    <x v="8"/>
    <n v="38516"/>
    <n v="39361"/>
    <n v="14840"/>
    <n v="14334"/>
    <n v="16397"/>
    <n v="16722"/>
    <m/>
    <m/>
    <n v="7279"/>
    <n v="0"/>
    <n v="0"/>
    <n v="8305"/>
    <m/>
    <m/>
    <n v="0"/>
    <n v="0"/>
    <m/>
    <m/>
    <m/>
    <m/>
    <m/>
    <m/>
    <m/>
    <m/>
    <m/>
    <m/>
    <m/>
    <m/>
  </r>
  <r>
    <x v="1"/>
    <s v="University of Arkansas Community College at Batesville"/>
    <n v="106999"/>
    <x v="8"/>
    <n v="31283"/>
    <n v="35636"/>
    <n v="27148"/>
    <n v="29922"/>
    <n v="558"/>
    <n v="839"/>
    <n v="3577"/>
    <m/>
    <m/>
    <n v="4875"/>
    <n v="0"/>
    <n v="0"/>
    <m/>
    <m/>
    <n v="0"/>
    <n v="0"/>
    <m/>
    <m/>
    <m/>
    <m/>
    <m/>
    <m/>
    <m/>
    <m/>
    <m/>
    <m/>
    <m/>
    <m/>
  </r>
  <r>
    <x v="1"/>
    <s v="University of Arkansas Community College at Hope"/>
    <n v="107725"/>
    <x v="8"/>
    <n v="25910"/>
    <n v="27155"/>
    <n v="25886"/>
    <n v="27131"/>
    <m/>
    <n v="0"/>
    <n v="6"/>
    <m/>
    <n v="18"/>
    <n v="9"/>
    <n v="0"/>
    <n v="15"/>
    <m/>
    <m/>
    <n v="0"/>
    <n v="0"/>
    <m/>
    <m/>
    <m/>
    <m/>
    <m/>
    <m/>
    <m/>
    <m/>
    <m/>
    <m/>
    <m/>
    <m/>
  </r>
  <r>
    <x v="1"/>
    <s v="University of Arkansas Community College at Morrilton"/>
    <n v="107585"/>
    <x v="8"/>
    <n v="39993"/>
    <n v="43209"/>
    <n v="38172"/>
    <n v="40898"/>
    <m/>
    <n v="20"/>
    <n v="1821"/>
    <m/>
    <m/>
    <n v="2222"/>
    <n v="69"/>
    <n v="0"/>
    <m/>
    <m/>
    <n v="0"/>
    <n v="0"/>
    <m/>
    <m/>
    <m/>
    <m/>
    <m/>
    <m/>
    <m/>
    <m/>
    <m/>
    <m/>
    <m/>
    <m/>
  </r>
  <r>
    <x v="2"/>
    <s v="University of Delaware"/>
    <n v="130943"/>
    <x v="0"/>
    <n v="501916"/>
    <n v="505108"/>
    <n v="479434"/>
    <n v="481057"/>
    <m/>
    <m/>
    <n v="22482"/>
    <m/>
    <m/>
    <n v="24051"/>
    <m/>
    <m/>
    <m/>
    <m/>
    <n v="48994"/>
    <n v="49635"/>
    <n v="45701"/>
    <n v="46250"/>
    <m/>
    <m/>
    <n v="3186"/>
    <n v="107"/>
    <m/>
    <n v="3151"/>
    <n v="234"/>
    <m/>
    <m/>
    <m/>
  </r>
  <r>
    <x v="2"/>
    <s v="Delaware State University"/>
    <n v="130934"/>
    <x v="3"/>
    <n v="0"/>
    <n v="96583"/>
    <m/>
    <n v="96058"/>
    <m/>
    <m/>
    <n v="0"/>
    <m/>
    <m/>
    <n v="525"/>
    <m/>
    <m/>
    <m/>
    <m/>
    <n v="0"/>
    <n v="7075"/>
    <n v="0"/>
    <n v="6925"/>
    <n v="0"/>
    <m/>
    <n v="0"/>
    <n v="0"/>
    <n v="0"/>
    <n v="150"/>
    <m/>
    <m/>
    <n v="0"/>
    <m/>
  </r>
  <r>
    <x v="2"/>
    <s v="Delaware Technical and Community College--Owens"/>
    <n v="130891"/>
    <x v="7"/>
    <n v="82970"/>
    <n v="83810"/>
    <n v="70606"/>
    <n v="74456"/>
    <m/>
    <m/>
    <n v="7011"/>
    <n v="2713"/>
    <n v="2640"/>
    <n v="6097"/>
    <n v="313"/>
    <n v="2944"/>
    <m/>
    <m/>
    <n v="0"/>
    <n v="0"/>
    <m/>
    <m/>
    <m/>
    <m/>
    <m/>
    <m/>
    <m/>
    <m/>
    <m/>
    <m/>
    <m/>
    <m/>
  </r>
  <r>
    <x v="2"/>
    <s v="Delaware Technical and Community College--Stanton-Wilmington"/>
    <n v="130916"/>
    <x v="7"/>
    <n v="148573"/>
    <n v="140557"/>
    <n v="132263"/>
    <n v="124292"/>
    <m/>
    <m/>
    <n v="4889"/>
    <n v="216"/>
    <n v="11205"/>
    <n v="6030"/>
    <n v="366"/>
    <n v="9869"/>
    <m/>
    <m/>
    <n v="0"/>
    <n v="0"/>
    <m/>
    <m/>
    <m/>
    <m/>
    <m/>
    <m/>
    <m/>
    <m/>
    <m/>
    <m/>
    <m/>
    <m/>
  </r>
  <r>
    <x v="2"/>
    <s v="Delaware Technical and Community College--Terry"/>
    <n v="130907"/>
    <x v="8"/>
    <n v="63108"/>
    <n v="64910"/>
    <n v="55234"/>
    <n v="54591"/>
    <m/>
    <m/>
    <n v="5043"/>
    <n v="156"/>
    <n v="2675"/>
    <n v="5619"/>
    <n v="27"/>
    <n v="4673"/>
    <m/>
    <m/>
    <n v="0"/>
    <n v="0"/>
    <m/>
    <m/>
    <m/>
    <m/>
    <m/>
    <m/>
    <m/>
    <m/>
    <m/>
    <m/>
    <m/>
    <m/>
  </r>
  <r>
    <x v="3"/>
    <s v="Florida State University "/>
    <n v="134097"/>
    <x v="0"/>
    <n v="903579"/>
    <n v="877631"/>
    <n v="853868"/>
    <n v="820264"/>
    <n v="38671"/>
    <n v="38525"/>
    <n v="11034"/>
    <n v="6"/>
    <m/>
    <n v="18740"/>
    <n v="102"/>
    <m/>
    <m/>
    <m/>
    <n v="175631"/>
    <n v="174906"/>
    <n v="146136"/>
    <n v="145431"/>
    <n v="9262"/>
    <n v="8741"/>
    <n v="20038"/>
    <m/>
    <n v="195"/>
    <n v="20545"/>
    <m/>
    <n v="189"/>
    <m/>
    <m/>
  </r>
  <r>
    <x v="3"/>
    <s v="University of Central Florida "/>
    <n v="132903"/>
    <x v="0"/>
    <n v="1092889"/>
    <n v="1147786"/>
    <n v="776708"/>
    <n v="784548"/>
    <n v="106855"/>
    <n v="108866"/>
    <n v="175185"/>
    <n v="3954"/>
    <n v="30187"/>
    <n v="184738"/>
    <n v="31297"/>
    <n v="38337"/>
    <m/>
    <m/>
    <n v="112093"/>
    <n v="114897"/>
    <n v="73744"/>
    <n v="72451"/>
    <n v="11102"/>
    <n v="11202"/>
    <n v="27247"/>
    <m/>
    <m/>
    <n v="29240"/>
    <n v="45"/>
    <n v="1959"/>
    <m/>
    <m/>
  </r>
  <r>
    <x v="3"/>
    <s v="University of Florida"/>
    <n v="134130"/>
    <x v="0"/>
    <n v="1030375"/>
    <n v="1027552"/>
    <n v="790288"/>
    <n v="828912"/>
    <n v="5169"/>
    <n v="2478"/>
    <n v="32177"/>
    <n v="1404"/>
    <n v="193767"/>
    <n v="32537"/>
    <n v="1059"/>
    <n v="155476"/>
    <n v="7570"/>
    <n v="7090"/>
    <n v="299763"/>
    <n v="305799"/>
    <n v="234264"/>
    <n v="248104"/>
    <n v="23939"/>
    <n v="10884"/>
    <n v="16554"/>
    <n v="2438"/>
    <n v="22568"/>
    <n v="16921"/>
    <n v="2114"/>
    <n v="27776"/>
    <m/>
    <m/>
  </r>
  <r>
    <x v="3"/>
    <s v="University of South Florida "/>
    <n v="137351"/>
    <x v="0"/>
    <n v="924693"/>
    <n v="936609"/>
    <n v="624536"/>
    <n v="624130"/>
    <n v="136602"/>
    <n v="127582"/>
    <n v="120568"/>
    <n v="285"/>
    <n v="42702"/>
    <n v="150719"/>
    <n v="2345"/>
    <n v="31833"/>
    <m/>
    <m/>
    <n v="165321"/>
    <n v="173086"/>
    <n v="97863"/>
    <n v="97121"/>
    <n v="38733"/>
    <n v="38427"/>
    <n v="28509"/>
    <n v="123"/>
    <n v="93"/>
    <n v="35942"/>
    <n v="845"/>
    <n v="751"/>
    <m/>
    <m/>
  </r>
  <r>
    <x v="3"/>
    <s v="Florida Atlantic University "/>
    <n v="133669"/>
    <x v="1"/>
    <n v="517081"/>
    <n v="511345"/>
    <n v="300959"/>
    <n v="362188"/>
    <n v="109163"/>
    <n v="116314"/>
    <n v="99627"/>
    <n v="6924"/>
    <n v="408"/>
    <n v="24264"/>
    <n v="8303"/>
    <n v="276"/>
    <m/>
    <m/>
    <n v="68464"/>
    <n v="65444"/>
    <n v="30913"/>
    <n v="37216"/>
    <n v="12068"/>
    <n v="14000"/>
    <n v="22751"/>
    <n v="1286"/>
    <n v="1446"/>
    <n v="11749"/>
    <n v="1483"/>
    <n v="996"/>
    <m/>
    <m/>
  </r>
  <r>
    <x v="3"/>
    <s v="Florida International University"/>
    <n v="133951"/>
    <x v="1"/>
    <n v="832026"/>
    <n v="804607"/>
    <n v="546421"/>
    <n v="531139"/>
    <n v="136711"/>
    <n v="131345"/>
    <n v="146610"/>
    <n v="1407"/>
    <n v="877"/>
    <n v="140673"/>
    <n v="762"/>
    <n v="688"/>
    <m/>
    <m/>
    <n v="129291"/>
    <n v="127088"/>
    <n v="97978"/>
    <n v="101212"/>
    <n v="22020"/>
    <n v="18345"/>
    <n v="8609"/>
    <m/>
    <n v="684"/>
    <n v="6769"/>
    <m/>
    <n v="762"/>
    <m/>
    <m/>
  </r>
  <r>
    <x v="3"/>
    <s v="Florida Agricultural &amp; Mechanical University "/>
    <n v="133650"/>
    <x v="2"/>
    <n v="267833"/>
    <n v="264121"/>
    <n v="262513"/>
    <n v="259175"/>
    <n v="5320"/>
    <n v="4946"/>
    <m/>
    <m/>
    <m/>
    <m/>
    <m/>
    <m/>
    <m/>
    <m/>
    <n v="43150"/>
    <n v="45785"/>
    <n v="27157"/>
    <n v="28881"/>
    <n v="15993"/>
    <n v="16904"/>
    <m/>
    <m/>
    <m/>
    <m/>
    <m/>
    <m/>
    <m/>
    <m/>
  </r>
  <r>
    <x v="3"/>
    <s v="University of North Florida"/>
    <n v="136172"/>
    <x v="2"/>
    <n v="381362"/>
    <n v="367021"/>
    <n v="362230"/>
    <n v="349365"/>
    <n v="5884"/>
    <n v="5313"/>
    <n v="12906"/>
    <n v="6"/>
    <n v="336"/>
    <n v="12343"/>
    <m/>
    <m/>
    <m/>
    <m/>
    <n v="29611"/>
    <n v="32547"/>
    <n v="25867"/>
    <n v="28345"/>
    <n v="2236"/>
    <n v="2506"/>
    <n v="1460"/>
    <m/>
    <n v="48"/>
    <n v="1690"/>
    <m/>
    <n v="6"/>
    <m/>
    <m/>
  </r>
  <r>
    <x v="3"/>
    <s v="University of West Florida"/>
    <n v="138354"/>
    <x v="2"/>
    <n v="217790"/>
    <n v="221680"/>
    <n v="140531"/>
    <n v="139936"/>
    <n v="9791"/>
    <n v="7980"/>
    <n v="63306"/>
    <n v="4162"/>
    <m/>
    <n v="70452"/>
    <n v="3312"/>
    <m/>
    <m/>
    <m/>
    <n v="23420.5"/>
    <n v="23149"/>
    <n v="9501.5"/>
    <n v="8551.5"/>
    <n v="1518"/>
    <n v="803"/>
    <n v="12249.5"/>
    <n v="151.5"/>
    <m/>
    <n v="13646"/>
    <n v="148.5"/>
    <m/>
    <m/>
    <m/>
  </r>
  <r>
    <x v="3"/>
    <s v="Florida Gulf Coast University"/>
    <n v="433660"/>
    <x v="3"/>
    <n v="197014"/>
    <n v="221970"/>
    <n v="158882"/>
    <n v="179182"/>
    <n v="5756"/>
    <n v="5453"/>
    <n v="27264"/>
    <m/>
    <n v="5112"/>
    <n v="37335"/>
    <m/>
    <m/>
    <m/>
    <m/>
    <n v="15997"/>
    <n v="18840"/>
    <n v="9340"/>
    <n v="10714"/>
    <n v="1218"/>
    <n v="641"/>
    <n v="5208"/>
    <m/>
    <n v="231"/>
    <n v="7485"/>
    <m/>
    <m/>
    <m/>
    <m/>
  </r>
  <r>
    <x v="3"/>
    <s v="New College of Florida"/>
    <n v="262129"/>
    <x v="5"/>
    <n v="25748"/>
    <n v="26784"/>
    <n v="25748"/>
    <n v="26784"/>
    <m/>
    <m/>
    <m/>
    <m/>
    <m/>
    <m/>
    <m/>
    <m/>
    <m/>
    <m/>
    <n v="0"/>
    <n v="0"/>
    <m/>
    <m/>
    <m/>
    <m/>
    <m/>
    <m/>
    <m/>
    <m/>
    <m/>
    <m/>
    <m/>
    <m/>
  </r>
  <r>
    <x v="3"/>
    <s v="Chipola College "/>
    <n v="133021"/>
    <x v="11"/>
    <n v="39321"/>
    <n v="43317"/>
    <n v="35694"/>
    <n v="39103"/>
    <n v="2469"/>
    <n v="2431"/>
    <n v="390"/>
    <n v="0"/>
    <n v="0"/>
    <n v="894"/>
    <n v="0"/>
    <n v="0"/>
    <n v="768"/>
    <n v="889"/>
    <n v="0"/>
    <n v="0"/>
    <m/>
    <m/>
    <m/>
    <m/>
    <m/>
    <m/>
    <m/>
    <m/>
    <m/>
    <m/>
    <m/>
    <m/>
  </r>
  <r>
    <x v="3"/>
    <s v="Miami Dade College "/>
    <n v="135717"/>
    <x v="11"/>
    <n v="1281222"/>
    <n v="1354186"/>
    <n v="1192055"/>
    <n v="1255089"/>
    <n v="20681"/>
    <n v="25305"/>
    <n v="50202"/>
    <n v="0"/>
    <n v="5898"/>
    <n v="14006"/>
    <n v="0"/>
    <n v="57865"/>
    <n v="12386"/>
    <n v="1921"/>
    <n v="0"/>
    <n v="0"/>
    <m/>
    <m/>
    <m/>
    <m/>
    <m/>
    <m/>
    <m/>
    <m/>
    <m/>
    <m/>
    <m/>
    <m/>
  </r>
  <r>
    <x v="3"/>
    <s v="Northwest Florida State College"/>
    <n v="136233"/>
    <x v="11"/>
    <n v="139196"/>
    <n v="150725"/>
    <n v="90910"/>
    <n v="96746"/>
    <n v="20247"/>
    <n v="20382"/>
    <n v="13078"/>
    <n v="0"/>
    <n v="0"/>
    <n v="15828"/>
    <n v="0"/>
    <n v="3933"/>
    <n v="14961"/>
    <n v="13836"/>
    <n v="0"/>
    <n v="0"/>
    <m/>
    <m/>
    <m/>
    <m/>
    <m/>
    <m/>
    <m/>
    <m/>
    <m/>
    <m/>
    <m/>
    <m/>
  </r>
  <r>
    <x v="3"/>
    <s v="St. Petersburg College "/>
    <n v="137078"/>
    <x v="11"/>
    <n v="499951"/>
    <n v="526777"/>
    <n v="319584"/>
    <n v="325789"/>
    <n v="8474"/>
    <n v="4719"/>
    <n v="148316"/>
    <n v="240"/>
    <n v="19408"/>
    <n v="167961"/>
    <n v="219"/>
    <n v="24549"/>
    <n v="3929"/>
    <n v="3540"/>
    <n v="0"/>
    <n v="0"/>
    <m/>
    <m/>
    <m/>
    <m/>
    <m/>
    <m/>
    <m/>
    <m/>
    <m/>
    <m/>
    <m/>
    <m/>
  </r>
  <r>
    <x v="3"/>
    <s v="Brevard Community College "/>
    <n v="132693"/>
    <x v="6"/>
    <n v="269831"/>
    <n v="294236"/>
    <n v="206206"/>
    <n v="215445"/>
    <n v="10142"/>
    <n v="10197"/>
    <n v="47971"/>
    <n v="0"/>
    <n v="5512"/>
    <n v="54977"/>
    <n v="0"/>
    <n v="13617"/>
    <n v="0"/>
    <n v="0"/>
    <n v="0"/>
    <n v="0"/>
    <m/>
    <m/>
    <m/>
    <m/>
    <m/>
    <m/>
    <m/>
    <m/>
    <m/>
    <m/>
    <m/>
    <m/>
  </r>
  <r>
    <x v="3"/>
    <s v="Broward Community College "/>
    <n v="132709"/>
    <x v="6"/>
    <n v="651290"/>
    <n v="694111"/>
    <n v="559146"/>
    <n v="579895"/>
    <n v="32901"/>
    <n v="35695"/>
    <n v="38757"/>
    <n v="1171"/>
    <n v="16834"/>
    <n v="48353"/>
    <n v="1154"/>
    <n v="27487"/>
    <n v="2481"/>
    <n v="1527"/>
    <n v="0"/>
    <n v="0"/>
    <m/>
    <m/>
    <m/>
    <m/>
    <m/>
    <m/>
    <m/>
    <m/>
    <m/>
    <m/>
    <m/>
    <m/>
  </r>
  <r>
    <x v="3"/>
    <s v="Daytona Beach Community College "/>
    <n v="133386"/>
    <x v="6"/>
    <n v="250783"/>
    <n v="300378"/>
    <n v="221999"/>
    <n v="244413"/>
    <n v="0"/>
    <n v="0"/>
    <n v="22448"/>
    <n v="3054"/>
    <n v="3282"/>
    <n v="42001"/>
    <n v="3965"/>
    <n v="9999"/>
    <n v="0"/>
    <n v="0"/>
    <n v="0"/>
    <n v="0"/>
    <m/>
    <m/>
    <m/>
    <m/>
    <m/>
    <m/>
    <m/>
    <m/>
    <m/>
    <m/>
    <m/>
    <m/>
  </r>
  <r>
    <x v="3"/>
    <s v="Edison State College "/>
    <n v="133508"/>
    <x v="6"/>
    <n v="229887"/>
    <n v="260068"/>
    <n v="198499"/>
    <n v="222377"/>
    <n v="15467"/>
    <n v="11501"/>
    <n v="8012"/>
    <n v="0"/>
    <n v="7699"/>
    <n v="21529"/>
    <n v="0"/>
    <n v="4511"/>
    <n v="210"/>
    <n v="150"/>
    <n v="0"/>
    <n v="0"/>
    <m/>
    <m/>
    <m/>
    <m/>
    <m/>
    <m/>
    <m/>
    <m/>
    <m/>
    <m/>
    <m/>
    <m/>
  </r>
  <r>
    <x v="3"/>
    <s v="Florida Community College at Jacksonville"/>
    <n v="133702"/>
    <x v="6"/>
    <n v="465690"/>
    <n v="503095"/>
    <n v="314529"/>
    <n v="320086"/>
    <n v="19990"/>
    <n v="7112"/>
    <n v="107216"/>
    <n v="2"/>
    <n v="23355"/>
    <n v="127100"/>
    <n v="0"/>
    <n v="48189"/>
    <n v="598"/>
    <n v="608"/>
    <n v="0"/>
    <n v="0"/>
    <m/>
    <m/>
    <m/>
    <m/>
    <m/>
    <m/>
    <m/>
    <m/>
    <m/>
    <m/>
    <m/>
    <m/>
  </r>
  <r>
    <x v="3"/>
    <s v="Hillsborough Community College "/>
    <n v="134495"/>
    <x v="6"/>
    <n v="438421"/>
    <n v="464794"/>
    <n v="393056"/>
    <n v="407985"/>
    <n v="16173"/>
    <n v="15161"/>
    <n v="26571"/>
    <n v="0"/>
    <n v="2621"/>
    <n v="38151"/>
    <n v="0"/>
    <n v="3497"/>
    <n v="0"/>
    <n v="0"/>
    <n v="0"/>
    <n v="0"/>
    <m/>
    <m/>
    <m/>
    <m/>
    <m/>
    <m/>
    <m/>
    <m/>
    <m/>
    <m/>
    <m/>
    <m/>
  </r>
  <r>
    <x v="3"/>
    <s v="Indian River Community College "/>
    <n v="134608"/>
    <x v="6"/>
    <n v="245331"/>
    <n v="270334"/>
    <n v="185452"/>
    <n v="199390"/>
    <n v="16849"/>
    <n v="16847"/>
    <n v="32419"/>
    <n v="5448"/>
    <n v="5163"/>
    <n v="40410"/>
    <n v="5461"/>
    <n v="8226"/>
    <n v="0"/>
    <n v="0"/>
    <n v="0"/>
    <n v="0"/>
    <m/>
    <m/>
    <m/>
    <m/>
    <m/>
    <m/>
    <m/>
    <m/>
    <m/>
    <m/>
    <m/>
    <m/>
  </r>
  <r>
    <x v="3"/>
    <s v="Manatee Community College "/>
    <n v="135391"/>
    <x v="6"/>
    <n v="216781"/>
    <n v="241405"/>
    <n v="191898"/>
    <n v="210973"/>
    <n v="6707"/>
    <n v="7381"/>
    <n v="13771"/>
    <n v="1177"/>
    <n v="3228"/>
    <n v="17907"/>
    <n v="1900"/>
    <n v="3244"/>
    <n v="0"/>
    <n v="0"/>
    <n v="0"/>
    <n v="0"/>
    <m/>
    <m/>
    <m/>
    <m/>
    <m/>
    <m/>
    <m/>
    <m/>
    <m/>
    <m/>
    <m/>
    <m/>
  </r>
  <r>
    <x v="3"/>
    <s v="Palm Beach Community College "/>
    <n v="136358"/>
    <x v="6"/>
    <n v="402837"/>
    <n v="451867"/>
    <n v="323594"/>
    <n v="362944"/>
    <n v="12631"/>
    <n v="12432"/>
    <n v="29211"/>
    <n v="2835"/>
    <n v="31446"/>
    <n v="38696"/>
    <n v="2547"/>
    <n v="35248"/>
    <n v="3120"/>
    <n v="0"/>
    <n v="0"/>
    <n v="0"/>
    <m/>
    <m/>
    <m/>
    <m/>
    <m/>
    <m/>
    <m/>
    <m/>
    <m/>
    <m/>
    <m/>
    <m/>
  </r>
  <r>
    <x v="3"/>
    <s v="Pasco-Hernando Community College "/>
    <n v="136400"/>
    <x v="6"/>
    <n v="147519"/>
    <n v="161425"/>
    <n v="114321"/>
    <n v="137268"/>
    <n v="1966"/>
    <n v="3696"/>
    <n v="12186"/>
    <n v="195"/>
    <n v="18851"/>
    <n v="17951"/>
    <n v="0"/>
    <n v="2510"/>
    <n v="0"/>
    <n v="0"/>
    <n v="0"/>
    <n v="0"/>
    <m/>
    <m/>
    <m/>
    <m/>
    <m/>
    <m/>
    <m/>
    <m/>
    <m/>
    <m/>
    <m/>
    <m/>
  </r>
  <r>
    <x v="3"/>
    <s v="Pensacola Junior College "/>
    <n v="136473"/>
    <x v="6"/>
    <n v="212759"/>
    <n v="220439"/>
    <n v="180129"/>
    <n v="182831"/>
    <n v="11727"/>
    <n v="12816"/>
    <n v="19675"/>
    <n v="0"/>
    <n v="1228"/>
    <n v="23254"/>
    <n v="0"/>
    <n v="1538"/>
    <n v="0"/>
    <n v="0"/>
    <n v="0"/>
    <n v="0"/>
    <m/>
    <m/>
    <m/>
    <m/>
    <m/>
    <m/>
    <m/>
    <m/>
    <m/>
    <m/>
    <m/>
    <m/>
  </r>
  <r>
    <x v="3"/>
    <s v="Santa Fe Community College "/>
    <n v="137096"/>
    <x v="6"/>
    <n v="333150"/>
    <n v="343718"/>
    <n v="283066"/>
    <n v="287526"/>
    <n v="4415"/>
    <n v="3272"/>
    <n v="36728"/>
    <n v="163"/>
    <n v="8778"/>
    <n v="42980"/>
    <n v="111"/>
    <n v="9829"/>
    <n v="0"/>
    <n v="0"/>
    <n v="0"/>
    <n v="0"/>
    <m/>
    <m/>
    <m/>
    <m/>
    <m/>
    <m/>
    <m/>
    <m/>
    <m/>
    <m/>
    <m/>
    <m/>
  </r>
  <r>
    <x v="3"/>
    <s v="Seminole Community College "/>
    <n v="137209"/>
    <x v="6"/>
    <n v="240343"/>
    <n v="272182"/>
    <n v="208586"/>
    <n v="232635"/>
    <n v="2878"/>
    <n v="0"/>
    <n v="26041"/>
    <n v="0"/>
    <n v="2838"/>
    <n v="36631"/>
    <n v="0"/>
    <n v="2916"/>
    <n v="0"/>
    <n v="0"/>
    <n v="0"/>
    <n v="0"/>
    <m/>
    <m/>
    <m/>
    <m/>
    <m/>
    <m/>
    <m/>
    <m/>
    <m/>
    <m/>
    <m/>
    <m/>
  </r>
  <r>
    <x v="3"/>
    <s v="Tallahassee Community College "/>
    <n v="137759"/>
    <x v="6"/>
    <n v="303871"/>
    <n v="308574"/>
    <n v="269645"/>
    <n v="274081"/>
    <n v="5768"/>
    <n v="4180"/>
    <n v="26575"/>
    <n v="0"/>
    <n v="1883"/>
    <n v="28735"/>
    <n v="0"/>
    <n v="1578"/>
    <n v="0"/>
    <n v="0"/>
    <n v="0"/>
    <n v="0"/>
    <m/>
    <m/>
    <m/>
    <m/>
    <m/>
    <m/>
    <m/>
    <m/>
    <m/>
    <m/>
    <m/>
    <m/>
  </r>
  <r>
    <x v="3"/>
    <s v="Valencia Community College "/>
    <n v="138187"/>
    <x v="6"/>
    <n v="665306"/>
    <n v="737228"/>
    <n v="563362"/>
    <n v="605323"/>
    <n v="60"/>
    <n v="72"/>
    <n v="84282"/>
    <n v="0"/>
    <n v="17602"/>
    <n v="110038"/>
    <n v="0"/>
    <n v="21795"/>
    <n v="0"/>
    <n v="0"/>
    <n v="0"/>
    <n v="0"/>
    <m/>
    <m/>
    <m/>
    <m/>
    <m/>
    <m/>
    <m/>
    <m/>
    <m/>
    <m/>
    <m/>
    <m/>
  </r>
  <r>
    <x v="3"/>
    <s v="Central Florida Community College "/>
    <n v="132851"/>
    <x v="7"/>
    <n v="119694"/>
    <n v="134717"/>
    <n v="102278"/>
    <n v="112239"/>
    <n v="0"/>
    <n v="0"/>
    <n v="13747"/>
    <n v="0"/>
    <n v="3669"/>
    <n v="17573"/>
    <n v="0"/>
    <n v="4905"/>
    <n v="0"/>
    <n v="0"/>
    <n v="0"/>
    <n v="0"/>
    <m/>
    <m/>
    <m/>
    <m/>
    <m/>
    <m/>
    <m/>
    <m/>
    <m/>
    <m/>
    <m/>
    <m/>
  </r>
  <r>
    <x v="3"/>
    <s v="Gulf Coast Community College "/>
    <n v="134343"/>
    <x v="7"/>
    <n v="118675"/>
    <n v="124256"/>
    <n v="87595"/>
    <n v="86066"/>
    <n v="10530"/>
    <n v="13562"/>
    <n v="12436"/>
    <n v="1723"/>
    <n v="6390"/>
    <n v="15893"/>
    <n v="1911"/>
    <n v="6824"/>
    <n v="1"/>
    <n v="0"/>
    <n v="0"/>
    <n v="0"/>
    <m/>
    <m/>
    <m/>
    <m/>
    <m/>
    <m/>
    <m/>
    <m/>
    <m/>
    <m/>
    <m/>
    <m/>
  </r>
  <r>
    <x v="3"/>
    <s v="Lake City Community College "/>
    <n v="135160"/>
    <x v="7"/>
    <n v="53433"/>
    <n v="54399"/>
    <n v="33642"/>
    <n v="33279"/>
    <n v="1604"/>
    <n v="213"/>
    <n v="13681"/>
    <n v="4155"/>
    <n v="351"/>
    <n v="15600"/>
    <n v="5307"/>
    <n v="0"/>
    <n v="0"/>
    <n v="0"/>
    <n v="0"/>
    <n v="0"/>
    <m/>
    <m/>
    <m/>
    <m/>
    <m/>
    <m/>
    <m/>
    <m/>
    <m/>
    <m/>
    <m/>
    <m/>
  </r>
  <r>
    <x v="3"/>
    <s v="Lake-Sumter Community College "/>
    <n v="135188"/>
    <x v="7"/>
    <n v="73224"/>
    <n v="79372"/>
    <n v="63692"/>
    <n v="66821"/>
    <n v="1305"/>
    <n v="428"/>
    <n v="2338"/>
    <n v="0"/>
    <n v="5652"/>
    <n v="3660"/>
    <n v="0"/>
    <n v="7630"/>
    <n v="237"/>
    <n v="833"/>
    <n v="0"/>
    <n v="0"/>
    <m/>
    <m/>
    <m/>
    <m/>
    <m/>
    <m/>
    <m/>
    <m/>
    <m/>
    <m/>
    <m/>
    <m/>
  </r>
  <r>
    <x v="3"/>
    <s v="Polk Community College "/>
    <n v="136516"/>
    <x v="7"/>
    <n v="143350"/>
    <n v="162446"/>
    <n v="129387"/>
    <n v="140828"/>
    <n v="2148"/>
    <n v="3565"/>
    <n v="10658"/>
    <n v="120"/>
    <n v="1037"/>
    <n v="15080"/>
    <n v="0"/>
    <n v="2973"/>
    <n v="0"/>
    <n v="0"/>
    <n v="0"/>
    <n v="0"/>
    <m/>
    <m/>
    <m/>
    <m/>
    <m/>
    <m/>
    <m/>
    <m/>
    <m/>
    <m/>
    <m/>
    <m/>
  </r>
  <r>
    <x v="3"/>
    <s v="South Florida Community College "/>
    <n v="137315"/>
    <x v="7"/>
    <n v="38695"/>
    <n v="42583"/>
    <n v="24549"/>
    <n v="25853"/>
    <n v="8897"/>
    <n v="10989"/>
    <n v="2200"/>
    <n v="1152"/>
    <n v="1897"/>
    <n v="3254"/>
    <n v="1212"/>
    <n v="1275"/>
    <n v="0"/>
    <n v="0"/>
    <n v="0"/>
    <n v="0"/>
    <m/>
    <m/>
    <m/>
    <m/>
    <m/>
    <m/>
    <m/>
    <m/>
    <m/>
    <m/>
    <m/>
    <m/>
  </r>
  <r>
    <x v="3"/>
    <s v="St. Johns River Community College "/>
    <n v="137281"/>
    <x v="7"/>
    <n v="100301"/>
    <n v="111344"/>
    <n v="74312"/>
    <n v="83157"/>
    <n v="6216"/>
    <n v="5018"/>
    <n v="19109"/>
    <n v="0"/>
    <n v="664"/>
    <n v="22481"/>
    <n v="0"/>
    <n v="688"/>
    <n v="0"/>
    <n v="0"/>
    <n v="0"/>
    <n v="0"/>
    <m/>
    <m/>
    <m/>
    <m/>
    <m/>
    <m/>
    <m/>
    <m/>
    <m/>
    <m/>
    <m/>
    <m/>
  </r>
  <r>
    <x v="3"/>
    <s v="Florida Keys Community College "/>
    <n v="133960"/>
    <x v="8"/>
    <n v="20614"/>
    <n v="24528"/>
    <n v="14898"/>
    <n v="15749"/>
    <n v="2034"/>
    <n v="2296"/>
    <n v="1018"/>
    <n v="1443"/>
    <n v="1137"/>
    <n v="2134"/>
    <n v="1911"/>
    <n v="1895"/>
    <n v="84"/>
    <n v="543"/>
    <n v="0"/>
    <n v="0"/>
    <m/>
    <m/>
    <m/>
    <m/>
    <m/>
    <m/>
    <m/>
    <m/>
    <m/>
    <m/>
    <m/>
    <m/>
  </r>
  <r>
    <x v="3"/>
    <s v="North Florida Community College "/>
    <n v="136145"/>
    <x v="8"/>
    <n v="23630"/>
    <n v="21966"/>
    <n v="16534"/>
    <n v="15055"/>
    <n v="2416"/>
    <n v="1270"/>
    <n v="4103"/>
    <n v="0"/>
    <n v="574"/>
    <n v="4533"/>
    <n v="0"/>
    <n v="1108"/>
    <n v="3"/>
    <n v="0"/>
    <n v="0"/>
    <n v="0"/>
    <m/>
    <m/>
    <m/>
    <m/>
    <m/>
    <m/>
    <m/>
    <m/>
    <m/>
    <m/>
    <m/>
    <m/>
  </r>
  <r>
    <x v="4"/>
    <s v="Georgia State University "/>
    <n v="139940"/>
    <x v="0"/>
    <n v="543523.5"/>
    <n v="567915.5"/>
    <n v="538452.5"/>
    <n v="561829.5"/>
    <n v="5071"/>
    <n v="5771"/>
    <m/>
    <m/>
    <m/>
    <n v="315"/>
    <m/>
    <m/>
    <m/>
    <m/>
    <n v="191531"/>
    <n v="199366.5"/>
    <n v="176396"/>
    <n v="182212"/>
    <n v="15096"/>
    <n v="16674.5"/>
    <n v="39"/>
    <m/>
    <m/>
    <n v="480"/>
    <m/>
    <m/>
    <m/>
    <m/>
  </r>
  <r>
    <x v="4"/>
    <s v="University of Georgia"/>
    <n v="139959"/>
    <x v="0"/>
    <n v="729983.2"/>
    <n v="736785.3"/>
    <n v="701164.2"/>
    <n v="714466.3"/>
    <n v="16847"/>
    <n v="15674"/>
    <n v="9645"/>
    <m/>
    <n v="93"/>
    <n v="4745"/>
    <n v="9"/>
    <n v="1507"/>
    <n v="2234"/>
    <n v="384"/>
    <n v="225552.1"/>
    <n v="233833.9"/>
    <n v="200926.1"/>
    <n v="215341.4"/>
    <n v="12547"/>
    <n v="12209.5"/>
    <n v="11547"/>
    <n v="532"/>
    <m/>
    <n v="6215"/>
    <m/>
    <n v="68"/>
    <m/>
    <m/>
  </r>
  <r>
    <x v="4"/>
    <s v="Georgia Institute of Technology"/>
    <n v="139755"/>
    <x v="1"/>
    <n v="377828.5"/>
    <n v="384214"/>
    <n v="363711.5"/>
    <n v="370125"/>
    <n v="7684"/>
    <n v="8914"/>
    <n v="4122"/>
    <n v="2311"/>
    <m/>
    <n v="3047"/>
    <n v="1990"/>
    <n v="138"/>
    <m/>
    <m/>
    <n v="209401"/>
    <n v="217693"/>
    <n v="200744.5"/>
    <n v="208970"/>
    <n v="3903"/>
    <n v="5117"/>
    <n v="4719.5"/>
    <n v="34"/>
    <m/>
    <n v="2682"/>
    <n v="891"/>
    <n v="33"/>
    <m/>
    <m/>
  </r>
  <r>
    <x v="4"/>
    <s v="Georgia Southern University"/>
    <n v="139931"/>
    <x v="2"/>
    <n v="432457"/>
    <n v="445434"/>
    <n v="419709"/>
    <n v="427485"/>
    <n v="3045"/>
    <n v="3071"/>
    <n v="8021"/>
    <n v="1677"/>
    <n v="5"/>
    <n v="13674"/>
    <n v="1083"/>
    <n v="15"/>
    <m/>
    <n v="106"/>
    <n v="32139"/>
    <n v="35375"/>
    <n v="17195"/>
    <n v="17025"/>
    <n v="3124"/>
    <n v="2220"/>
    <n v="10845"/>
    <n v="846"/>
    <n v="57"/>
    <n v="15626"/>
    <n v="396"/>
    <n v="96"/>
    <n v="72"/>
    <n v="12"/>
  </r>
  <r>
    <x v="4"/>
    <s v="University of West Georgia"/>
    <n v="141334"/>
    <x v="2"/>
    <n v="240254"/>
    <n v="256495"/>
    <n v="217134"/>
    <n v="223194"/>
    <n v="7217"/>
    <n v="8440"/>
    <n v="15903"/>
    <m/>
    <m/>
    <n v="24861"/>
    <m/>
    <m/>
    <m/>
    <m/>
    <n v="25830"/>
    <n v="31518"/>
    <n v="14158"/>
    <n v="13897"/>
    <n v="3885"/>
    <n v="4648"/>
    <n v="7787"/>
    <m/>
    <m/>
    <n v="12973"/>
    <m/>
    <m/>
    <m/>
    <m/>
  </r>
  <r>
    <x v="4"/>
    <s v="Valdosta State University "/>
    <n v="141264"/>
    <x v="2"/>
    <n v="268832"/>
    <n v="272192"/>
    <n v="256015"/>
    <n v="257989"/>
    <n v="6450"/>
    <n v="5730"/>
    <n v="6367"/>
    <m/>
    <m/>
    <n v="8389"/>
    <n v="84"/>
    <m/>
    <m/>
    <m/>
    <n v="26254"/>
    <n v="30739"/>
    <n v="12952"/>
    <n v="12829"/>
    <n v="4585"/>
    <n v="4601"/>
    <n v="8717"/>
    <m/>
    <m/>
    <n v="13288"/>
    <n v="21"/>
    <m/>
    <m/>
    <m/>
  </r>
  <r>
    <x v="4"/>
    <s v="Albany State University "/>
    <n v="138716"/>
    <x v="3"/>
    <n v="104356"/>
    <n v="106419"/>
    <n v="102468"/>
    <n v="101815"/>
    <n v="1219"/>
    <n v="4505"/>
    <n v="669"/>
    <m/>
    <m/>
    <n v="99"/>
    <m/>
    <m/>
    <m/>
    <m/>
    <n v="6948"/>
    <n v="6658"/>
    <n v="6397"/>
    <n v="6491"/>
    <n v="27"/>
    <n v="90"/>
    <n v="524"/>
    <m/>
    <m/>
    <n v="77"/>
    <m/>
    <m/>
    <m/>
    <m/>
  </r>
  <r>
    <x v="4"/>
    <s v="Armstrong Atlantic State University"/>
    <n v="138789"/>
    <x v="3"/>
    <n v="150622.96"/>
    <n v="149833.88"/>
    <n v="132055.96"/>
    <n v="135866.88"/>
    <n v="11326"/>
    <n v="10968"/>
    <n v="7241"/>
    <m/>
    <m/>
    <n v="2999"/>
    <m/>
    <m/>
    <m/>
    <m/>
    <n v="11666"/>
    <n v="10904"/>
    <n v="8507"/>
    <n v="8924"/>
    <n v="279"/>
    <n v="911"/>
    <n v="2880"/>
    <m/>
    <m/>
    <n v="1069"/>
    <m/>
    <m/>
    <m/>
    <m/>
  </r>
  <r>
    <x v="4"/>
    <s v="Columbus State University"/>
    <n v="139366"/>
    <x v="3"/>
    <n v="173570"/>
    <n v="173998"/>
    <n v="163128"/>
    <n v="162178"/>
    <n v="5277"/>
    <n v="4953"/>
    <n v="5165"/>
    <m/>
    <m/>
    <n v="6696"/>
    <m/>
    <n v="171"/>
    <m/>
    <m/>
    <n v="16623"/>
    <n v="19318"/>
    <n v="13520"/>
    <n v="14974"/>
    <n v="1473"/>
    <n v="1865"/>
    <n v="1630"/>
    <m/>
    <m/>
    <n v="2349"/>
    <m/>
    <n v="130"/>
    <m/>
    <m/>
  </r>
  <r>
    <x v="4"/>
    <s v="Georgia College and State University"/>
    <n v="139861"/>
    <x v="3"/>
    <n v="151873"/>
    <n v="157611"/>
    <n v="149145"/>
    <n v="154359"/>
    <n v="2680"/>
    <n v="2856"/>
    <n v="48"/>
    <m/>
    <m/>
    <n v="396"/>
    <m/>
    <m/>
    <m/>
    <m/>
    <n v="17893"/>
    <n v="19042"/>
    <n v="7761"/>
    <n v="9885"/>
    <n v="8071"/>
    <n v="6154"/>
    <n v="2061"/>
    <m/>
    <m/>
    <n v="3003"/>
    <m/>
    <m/>
    <m/>
    <m/>
  </r>
  <r>
    <x v="4"/>
    <s v="Kennesaw State University"/>
    <n v="140164"/>
    <x v="3"/>
    <n v="479947"/>
    <n v="490013"/>
    <n v="461795"/>
    <n v="478498"/>
    <n v="1744"/>
    <n v="1432"/>
    <n v="16408"/>
    <m/>
    <m/>
    <n v="10083"/>
    <m/>
    <m/>
    <m/>
    <m/>
    <n v="40382"/>
    <n v="42312"/>
    <n v="32133"/>
    <n v="33678"/>
    <n v="8021"/>
    <n v="8418"/>
    <n v="228"/>
    <m/>
    <m/>
    <n v="216"/>
    <m/>
    <m/>
    <m/>
    <m/>
  </r>
  <r>
    <x v="4"/>
    <s v="Augusta State University"/>
    <n v="138983"/>
    <x v="4"/>
    <n v="145167"/>
    <n v="143656"/>
    <n v="139620"/>
    <n v="137627"/>
    <n v="861"/>
    <n v="594"/>
    <n v="4587"/>
    <m/>
    <n v="99"/>
    <n v="5324"/>
    <m/>
    <n v="111"/>
    <m/>
    <m/>
    <n v="15056"/>
    <n v="18640"/>
    <n v="14420"/>
    <n v="17443"/>
    <n v="240"/>
    <n v="426"/>
    <n v="396"/>
    <m/>
    <m/>
    <n v="771"/>
    <m/>
    <m/>
    <m/>
    <m/>
  </r>
  <r>
    <x v="4"/>
    <s v="Fort Valley State University"/>
    <n v="139719"/>
    <x v="4"/>
    <n v="69475"/>
    <n v="78131"/>
    <n v="67859"/>
    <n v="77092"/>
    <m/>
    <m/>
    <n v="1616"/>
    <m/>
    <m/>
    <n v="1039"/>
    <m/>
    <m/>
    <m/>
    <m/>
    <n v="1460"/>
    <n v="2129"/>
    <n v="1460"/>
    <n v="2014"/>
    <m/>
    <m/>
    <m/>
    <m/>
    <m/>
    <n v="115"/>
    <m/>
    <m/>
    <m/>
    <m/>
  </r>
  <r>
    <x v="4"/>
    <s v="Georgia Southwestern State University"/>
    <n v="139764"/>
    <x v="4"/>
    <n v="60529"/>
    <n v="62695"/>
    <n v="47925"/>
    <n v="48287"/>
    <n v="33"/>
    <n v="343"/>
    <n v="12514"/>
    <n v="42"/>
    <n v="15"/>
    <n v="13846"/>
    <n v="219"/>
    <m/>
    <m/>
    <m/>
    <n v="4050"/>
    <n v="4035"/>
    <n v="2598"/>
    <n v="3321"/>
    <n v="24"/>
    <m/>
    <n v="1428"/>
    <m/>
    <m/>
    <n v="714"/>
    <m/>
    <m/>
    <m/>
    <m/>
  </r>
  <r>
    <x v="4"/>
    <s v="North Georgia College and State University"/>
    <n v="140669"/>
    <x v="4"/>
    <n v="125538"/>
    <n v="129133"/>
    <n v="115129"/>
    <n v="115829"/>
    <n v="5172"/>
    <n v="5924"/>
    <n v="4009"/>
    <n v="887"/>
    <n v="340"/>
    <n v="4142"/>
    <n v="1359"/>
    <n v="1780"/>
    <n v="1"/>
    <n v="99"/>
    <n v="11124"/>
    <n v="11794"/>
    <n v="7926"/>
    <n v="5955"/>
    <n v="2706"/>
    <n v="5309"/>
    <n v="492"/>
    <m/>
    <m/>
    <n v="530"/>
    <m/>
    <m/>
    <m/>
    <m/>
  </r>
  <r>
    <x v="4"/>
    <s v="Savannah State University"/>
    <n v="140960"/>
    <x v="4"/>
    <n v="87514"/>
    <n v="91145"/>
    <n v="87367"/>
    <n v="89634"/>
    <n v="147"/>
    <n v="418"/>
    <m/>
    <m/>
    <m/>
    <n v="1093"/>
    <m/>
    <m/>
    <m/>
    <m/>
    <n v="2440"/>
    <n v="2379"/>
    <n v="639"/>
    <n v="954"/>
    <n v="1801"/>
    <n v="1419"/>
    <m/>
    <m/>
    <m/>
    <n v="6"/>
    <m/>
    <m/>
    <m/>
    <m/>
  </r>
  <r>
    <x v="4"/>
    <s v="Clayton State University"/>
    <n v="139311"/>
    <x v="5"/>
    <n v="146952"/>
    <n v="140551"/>
    <n v="130376"/>
    <n v="132406"/>
    <m/>
    <n v="430"/>
    <n v="15717"/>
    <m/>
    <n v="99"/>
    <n v="7715"/>
    <m/>
    <m/>
    <n v="760"/>
    <m/>
    <n v="630"/>
    <n v="2170"/>
    <n v="447"/>
    <n v="2124"/>
    <m/>
    <m/>
    <n v="160"/>
    <m/>
    <n v="23"/>
    <n v="46"/>
    <m/>
    <m/>
    <m/>
    <m/>
  </r>
  <r>
    <x v="4"/>
    <s v="Macon State College "/>
    <n v="140322"/>
    <x v="5"/>
    <n v="147335"/>
    <n v="143602"/>
    <n v="97908"/>
    <n v="100370"/>
    <n v="30543"/>
    <n v="28437"/>
    <n v="18884"/>
    <m/>
    <m/>
    <n v="14795"/>
    <m/>
    <m/>
    <m/>
    <m/>
    <n v="0"/>
    <n v="0"/>
    <m/>
    <m/>
    <m/>
    <m/>
    <m/>
    <m/>
    <m/>
    <m/>
    <m/>
    <m/>
    <m/>
    <m/>
  </r>
  <r>
    <x v="4"/>
    <s v="Dalton State College "/>
    <n v="139463"/>
    <x v="11"/>
    <n v="95345"/>
    <n v="104245"/>
    <n v="93061"/>
    <n v="102264"/>
    <n v="1757"/>
    <n v="1501"/>
    <n v="527"/>
    <m/>
    <m/>
    <n v="480"/>
    <m/>
    <m/>
    <m/>
    <m/>
    <n v="0"/>
    <n v="0"/>
    <m/>
    <m/>
    <m/>
    <m/>
    <m/>
    <m/>
    <m/>
    <m/>
    <m/>
    <m/>
    <m/>
    <m/>
  </r>
  <r>
    <x v="4"/>
    <s v="Georgia Perimeter College "/>
    <n v="244437"/>
    <x v="6"/>
    <n v="484348"/>
    <n v="497463"/>
    <n v="309980"/>
    <n v="365645"/>
    <n v="115196"/>
    <n v="44587"/>
    <n v="57685"/>
    <n v="1487"/>
    <m/>
    <n v="86547"/>
    <n v="684"/>
    <m/>
    <m/>
    <m/>
    <n v="0"/>
    <n v="0"/>
    <m/>
    <m/>
    <m/>
    <m/>
    <m/>
    <m/>
    <m/>
    <m/>
    <m/>
    <m/>
    <m/>
    <m/>
  </r>
  <r>
    <x v="4"/>
    <s v="Abraham Baldwin Agricultural College "/>
    <n v="138558"/>
    <x v="7"/>
    <n v="86301"/>
    <n v="86217"/>
    <n v="81685"/>
    <n v="79025"/>
    <n v="1722"/>
    <n v="3641"/>
    <n v="2049"/>
    <m/>
    <n v="671"/>
    <n v="2235"/>
    <n v="1253"/>
    <n v="63"/>
    <n v="174"/>
    <m/>
    <n v="0"/>
    <n v="0"/>
    <m/>
    <m/>
    <m/>
    <m/>
    <m/>
    <m/>
    <m/>
    <m/>
    <m/>
    <m/>
    <m/>
    <m/>
  </r>
  <r>
    <x v="4"/>
    <s v="Bainbridge College "/>
    <n v="139010"/>
    <x v="7"/>
    <n v="64561"/>
    <n v="66463"/>
    <n v="47062"/>
    <n v="44817"/>
    <n v="12547"/>
    <n v="16167"/>
    <n v="4952"/>
    <m/>
    <m/>
    <n v="5479"/>
    <m/>
    <m/>
    <m/>
    <m/>
    <n v="0"/>
    <n v="0"/>
    <m/>
    <m/>
    <m/>
    <m/>
    <m/>
    <m/>
    <m/>
    <m/>
    <m/>
    <m/>
    <m/>
    <m/>
  </r>
  <r>
    <x v="4"/>
    <s v="College of Coastal Georgia "/>
    <n v="139250"/>
    <x v="7"/>
    <n v="61125"/>
    <n v="56114.5"/>
    <n v="41941.5"/>
    <n v="52040"/>
    <n v="13206.5"/>
    <n v="837.5"/>
    <n v="2773"/>
    <n v="3204"/>
    <m/>
    <n v="1173"/>
    <n v="2064"/>
    <m/>
    <m/>
    <m/>
    <n v="0"/>
    <n v="0"/>
    <m/>
    <m/>
    <m/>
    <m/>
    <m/>
    <m/>
    <m/>
    <m/>
    <m/>
    <m/>
    <m/>
    <m/>
  </r>
  <r>
    <x v="4"/>
    <s v="Darton College "/>
    <n v="138691"/>
    <x v="7"/>
    <n v="107956.5"/>
    <n v="113430"/>
    <n v="77748.5"/>
    <n v="76994"/>
    <n v="4568"/>
    <n v="3670"/>
    <n v="25379"/>
    <m/>
    <n v="261"/>
    <n v="32277"/>
    <n v="162"/>
    <n v="327"/>
    <m/>
    <m/>
    <n v="0"/>
    <n v="0"/>
    <m/>
    <m/>
    <m/>
    <m/>
    <m/>
    <m/>
    <m/>
    <m/>
    <m/>
    <m/>
    <m/>
    <m/>
  </r>
  <r>
    <x v="4"/>
    <s v="Gainesville State College "/>
    <n v="139773"/>
    <x v="7"/>
    <n v="165613"/>
    <n v="186977"/>
    <n v="109403"/>
    <n v="129484"/>
    <n v="53629"/>
    <n v="53830"/>
    <n v="2581"/>
    <m/>
    <m/>
    <n v="3663"/>
    <m/>
    <m/>
    <m/>
    <m/>
    <n v="0"/>
    <n v="0"/>
    <m/>
    <m/>
    <m/>
    <m/>
    <m/>
    <m/>
    <m/>
    <m/>
    <m/>
    <m/>
    <m/>
    <m/>
  </r>
  <r>
    <x v="4"/>
    <s v="Georgia Highlands College "/>
    <n v="139700"/>
    <x v="7"/>
    <n v="94179"/>
    <n v="103478"/>
    <n v="73949"/>
    <n v="79925"/>
    <n v="16826"/>
    <n v="17900"/>
    <n v="2251"/>
    <m/>
    <n v="1153"/>
    <n v="4063"/>
    <m/>
    <n v="1590"/>
    <m/>
    <m/>
    <n v="0"/>
    <n v="0"/>
    <m/>
    <m/>
    <m/>
    <m/>
    <m/>
    <m/>
    <m/>
    <m/>
    <m/>
    <m/>
    <m/>
    <m/>
  </r>
  <r>
    <x v="4"/>
    <s v="Gordon College "/>
    <n v="139968"/>
    <x v="7"/>
    <n v="86806"/>
    <n v="90576"/>
    <n v="81740"/>
    <n v="87272"/>
    <n v="4238"/>
    <n v="1715"/>
    <n v="828"/>
    <m/>
    <m/>
    <n v="1589"/>
    <m/>
    <m/>
    <m/>
    <m/>
    <n v="0"/>
    <n v="0"/>
    <m/>
    <m/>
    <m/>
    <m/>
    <m/>
    <m/>
    <m/>
    <m/>
    <m/>
    <m/>
    <m/>
    <m/>
  </r>
  <r>
    <x v="4"/>
    <s v="Middle Georgia College "/>
    <n v="140483"/>
    <x v="7"/>
    <n v="87554"/>
    <n v="89469"/>
    <n v="54837"/>
    <n v="59378"/>
    <n v="19038"/>
    <n v="19577"/>
    <n v="13679"/>
    <m/>
    <m/>
    <n v="10514"/>
    <m/>
    <m/>
    <m/>
    <m/>
    <n v="0"/>
    <n v="0"/>
    <m/>
    <m/>
    <m/>
    <m/>
    <m/>
    <m/>
    <m/>
    <m/>
    <m/>
    <m/>
    <m/>
    <m/>
  </r>
  <r>
    <x v="4"/>
    <s v="Atlanta Metropolitan College"/>
    <n v="138901"/>
    <x v="8"/>
    <n v="45676"/>
    <n v="52494"/>
    <n v="43795"/>
    <n v="49400"/>
    <n v="582"/>
    <m/>
    <n v="1299"/>
    <m/>
    <m/>
    <n v="3094"/>
    <m/>
    <m/>
    <m/>
    <m/>
    <n v="0"/>
    <n v="0"/>
    <m/>
    <m/>
    <m/>
    <m/>
    <m/>
    <m/>
    <m/>
    <m/>
    <m/>
    <m/>
    <m/>
    <m/>
  </r>
  <r>
    <x v="4"/>
    <s v="East Georgia College"/>
    <n v="139621"/>
    <x v="8"/>
    <n v="45702"/>
    <n v="57105"/>
    <n v="18116"/>
    <n v="20069"/>
    <n v="23550"/>
    <n v="31458"/>
    <n v="4036"/>
    <m/>
    <m/>
    <n v="5578"/>
    <m/>
    <m/>
    <m/>
    <m/>
    <n v="0"/>
    <n v="0"/>
    <m/>
    <m/>
    <m/>
    <m/>
    <m/>
    <m/>
    <m/>
    <m/>
    <m/>
    <m/>
    <m/>
    <m/>
  </r>
  <r>
    <x v="4"/>
    <s v="South Georgia College "/>
    <n v="140997"/>
    <x v="8"/>
    <n v="41821"/>
    <n v="45792"/>
    <n v="30119"/>
    <n v="32547"/>
    <n v="11190"/>
    <n v="11837"/>
    <n v="512"/>
    <m/>
    <m/>
    <n v="1408"/>
    <m/>
    <m/>
    <m/>
    <m/>
    <n v="0"/>
    <n v="0"/>
    <m/>
    <m/>
    <m/>
    <m/>
    <m/>
    <m/>
    <m/>
    <m/>
    <m/>
    <m/>
    <m/>
    <m/>
  </r>
  <r>
    <x v="4"/>
    <s v="Waycross College "/>
    <n v="141307"/>
    <x v="8"/>
    <n v="19736"/>
    <n v="19611"/>
    <n v="17226"/>
    <n v="16801"/>
    <n v="2055"/>
    <n v="2131"/>
    <n v="455"/>
    <m/>
    <m/>
    <n v="679"/>
    <m/>
    <m/>
    <m/>
    <m/>
    <n v="0"/>
    <n v="0"/>
    <m/>
    <m/>
    <m/>
    <m/>
    <m/>
    <m/>
    <m/>
    <m/>
    <m/>
    <m/>
    <m/>
    <m/>
  </r>
  <r>
    <x v="4"/>
    <s v="Albany Technical College"/>
    <n v="138682"/>
    <x v="9"/>
    <n v="113254.5"/>
    <n v="122631"/>
    <n v="73343.5"/>
    <n v="69847"/>
    <m/>
    <m/>
    <n v="39911"/>
    <n v="0"/>
    <n v="0"/>
    <n v="52784"/>
    <n v="0"/>
    <n v="0"/>
    <m/>
    <m/>
    <n v="0"/>
    <n v="0"/>
    <m/>
    <m/>
    <m/>
    <m/>
    <m/>
    <m/>
    <m/>
    <m/>
    <m/>
    <m/>
    <m/>
    <m/>
  </r>
  <r>
    <x v="4"/>
    <s v="Athens Technical College"/>
    <n v="246813"/>
    <x v="9"/>
    <n v="126816"/>
    <n v="133248"/>
    <n v="112281"/>
    <n v="116141"/>
    <m/>
    <m/>
    <n v="14186"/>
    <n v="349"/>
    <n v="0"/>
    <n v="16536"/>
    <n v="571"/>
    <n v="0"/>
    <m/>
    <m/>
    <n v="0"/>
    <n v="0"/>
    <m/>
    <m/>
    <m/>
    <m/>
    <m/>
    <m/>
    <m/>
    <m/>
    <m/>
    <m/>
    <m/>
    <m/>
  </r>
  <r>
    <x v="4"/>
    <s v="Atlanta Technical College"/>
    <n v="138840"/>
    <x v="9"/>
    <n v="135196"/>
    <n v="137120"/>
    <n v="116199"/>
    <n v="111725"/>
    <m/>
    <m/>
    <n v="18997"/>
    <n v="0"/>
    <n v="0"/>
    <n v="25395"/>
    <n v="0"/>
    <n v="0"/>
    <m/>
    <m/>
    <n v="0"/>
    <n v="0"/>
    <m/>
    <m/>
    <m/>
    <m/>
    <m/>
    <m/>
    <m/>
    <m/>
    <m/>
    <m/>
    <m/>
    <m/>
  </r>
  <r>
    <x v="4"/>
    <s v="Augusta Technical College"/>
    <n v="138956"/>
    <x v="9"/>
    <n v="169155"/>
    <n v="174483"/>
    <n v="151451"/>
    <n v="145346"/>
    <m/>
    <m/>
    <n v="17704"/>
    <n v="0"/>
    <n v="0"/>
    <n v="29137"/>
    <n v="0"/>
    <n v="0"/>
    <m/>
    <m/>
    <n v="0"/>
    <n v="0"/>
    <m/>
    <m/>
    <m/>
    <m/>
    <m/>
    <m/>
    <m/>
    <m/>
    <m/>
    <m/>
    <m/>
    <m/>
  </r>
  <r>
    <x v="4"/>
    <s v="Central Georgia Technical College"/>
    <n v="140304"/>
    <x v="9"/>
    <n v="193917"/>
    <n v="198280"/>
    <n v="133864"/>
    <n v="134967"/>
    <m/>
    <m/>
    <n v="60053"/>
    <n v="0"/>
    <n v="0"/>
    <n v="63313"/>
    <n v="0"/>
    <n v="0"/>
    <m/>
    <m/>
    <n v="0"/>
    <n v="0"/>
    <m/>
    <m/>
    <m/>
    <m/>
    <m/>
    <m/>
    <m/>
    <m/>
    <m/>
    <m/>
    <m/>
    <m/>
  </r>
  <r>
    <x v="4"/>
    <s v="Chattahoochee Technical College"/>
    <n v="140331"/>
    <x v="9"/>
    <n v="198977"/>
    <n v="202083"/>
    <n v="171771"/>
    <n v="171654"/>
    <m/>
    <m/>
    <n v="22506"/>
    <n v="4700"/>
    <n v="0"/>
    <n v="25279"/>
    <n v="5150"/>
    <n v="0"/>
    <m/>
    <m/>
    <n v="0"/>
    <n v="0"/>
    <m/>
    <m/>
    <m/>
    <m/>
    <m/>
    <m/>
    <m/>
    <m/>
    <m/>
    <m/>
    <m/>
    <m/>
  </r>
  <r>
    <x v="4"/>
    <s v="Columbus Technical College"/>
    <n v="139357"/>
    <x v="9"/>
    <n v="125980"/>
    <n v="132290"/>
    <n v="111973"/>
    <n v="110556"/>
    <m/>
    <m/>
    <n v="14007"/>
    <n v="0"/>
    <n v="0"/>
    <n v="21734"/>
    <n v="0"/>
    <n v="0"/>
    <m/>
    <m/>
    <n v="0"/>
    <n v="0"/>
    <m/>
    <m/>
    <m/>
    <m/>
    <m/>
    <m/>
    <m/>
    <m/>
    <m/>
    <m/>
    <m/>
    <m/>
  </r>
  <r>
    <x v="4"/>
    <s v="Coosa Valley Technical College"/>
    <n v="139384"/>
    <x v="9"/>
    <n v="98784"/>
    <n v="102199"/>
    <n v="75373"/>
    <n v="71928"/>
    <m/>
    <m/>
    <n v="22298"/>
    <n v="1051"/>
    <n v="62"/>
    <n v="29469"/>
    <n v="741"/>
    <n v="61"/>
    <m/>
    <m/>
    <n v="0"/>
    <n v="0"/>
    <m/>
    <m/>
    <m/>
    <m/>
    <m/>
    <m/>
    <m/>
    <m/>
    <m/>
    <m/>
    <m/>
    <m/>
  </r>
  <r>
    <x v="4"/>
    <s v="DeKalb Technical College"/>
    <n v="244446"/>
    <x v="9"/>
    <n v="138839.5"/>
    <n v="144137"/>
    <n v="96281.5"/>
    <n v="97352"/>
    <m/>
    <m/>
    <n v="42273"/>
    <n v="285"/>
    <n v="0"/>
    <n v="46290"/>
    <n v="495"/>
    <n v="0"/>
    <m/>
    <m/>
    <n v="0"/>
    <n v="0"/>
    <m/>
    <m/>
    <m/>
    <m/>
    <m/>
    <m/>
    <m/>
    <m/>
    <m/>
    <m/>
    <m/>
    <m/>
  </r>
  <r>
    <x v="4"/>
    <s v="East Central Technical College"/>
    <n v="139126"/>
    <x v="9"/>
    <n v="47357"/>
    <n v="50514"/>
    <n v="42176"/>
    <n v="43318"/>
    <m/>
    <m/>
    <n v="5181"/>
    <n v="0"/>
    <n v="0"/>
    <n v="7196"/>
    <n v="0"/>
    <n v="0"/>
    <m/>
    <m/>
    <n v="0"/>
    <n v="0"/>
    <m/>
    <m/>
    <m/>
    <m/>
    <m/>
    <m/>
    <m/>
    <m/>
    <m/>
    <m/>
    <m/>
    <m/>
  </r>
  <r>
    <x v="4"/>
    <s v="Griffin Technical College"/>
    <n v="139986"/>
    <x v="9"/>
    <n v="140368"/>
    <n v="156133"/>
    <n v="101967"/>
    <n v="102015"/>
    <m/>
    <m/>
    <n v="38401"/>
    <n v="0"/>
    <n v="0"/>
    <n v="54118"/>
    <n v="0"/>
    <n v="0"/>
    <m/>
    <m/>
    <n v="0"/>
    <n v="0"/>
    <m/>
    <m/>
    <m/>
    <m/>
    <m/>
    <m/>
    <m/>
    <m/>
    <m/>
    <m/>
    <m/>
    <m/>
  </r>
  <r>
    <x v="4"/>
    <s v="Gwinnett Technical College"/>
    <n v="140012"/>
    <x v="9"/>
    <n v="167285"/>
    <n v="193854"/>
    <n v="87403"/>
    <n v="97734"/>
    <m/>
    <m/>
    <n v="79882"/>
    <n v="0"/>
    <n v="0"/>
    <n v="96120"/>
    <n v="0"/>
    <n v="0"/>
    <m/>
    <m/>
    <n v="0"/>
    <n v="0"/>
    <m/>
    <m/>
    <m/>
    <m/>
    <m/>
    <m/>
    <m/>
    <m/>
    <m/>
    <m/>
    <m/>
    <m/>
  </r>
  <r>
    <x v="4"/>
    <s v="Heart of Georgia Technical College"/>
    <n v="140076"/>
    <x v="9"/>
    <n v="52270"/>
    <n v="50026"/>
    <n v="47942"/>
    <n v="41800"/>
    <m/>
    <m/>
    <n v="4328"/>
    <n v="0"/>
    <n v="0"/>
    <n v="7383"/>
    <n v="843"/>
    <n v="0"/>
    <m/>
    <m/>
    <n v="0"/>
    <n v="0"/>
    <m/>
    <m/>
    <m/>
    <m/>
    <m/>
    <m/>
    <m/>
    <m/>
    <m/>
    <m/>
    <m/>
    <m/>
  </r>
  <r>
    <x v="4"/>
    <s v="Lanier Technical College"/>
    <n v="140243"/>
    <x v="9"/>
    <n v="113293"/>
    <n v="113750.5"/>
    <n v="58783"/>
    <n v="49986.5"/>
    <m/>
    <m/>
    <n v="54510"/>
    <n v="0"/>
    <n v="0"/>
    <n v="63764"/>
    <n v="0"/>
    <n v="0"/>
    <m/>
    <m/>
    <n v="0"/>
    <n v="0"/>
    <m/>
    <m/>
    <m/>
    <m/>
    <m/>
    <m/>
    <m/>
    <m/>
    <m/>
    <m/>
    <m/>
    <m/>
  </r>
  <r>
    <x v="4"/>
    <s v="Middle Georgia Technical College"/>
    <n v="140085"/>
    <x v="9"/>
    <n v="110890"/>
    <n v="113628"/>
    <n v="89247"/>
    <n v="89125"/>
    <m/>
    <m/>
    <n v="21643"/>
    <n v="0"/>
    <n v="0"/>
    <n v="24503"/>
    <n v="0"/>
    <n v="0"/>
    <m/>
    <m/>
    <n v="0"/>
    <n v="0"/>
    <m/>
    <m/>
    <m/>
    <m/>
    <m/>
    <m/>
    <m/>
    <m/>
    <m/>
    <m/>
    <m/>
    <m/>
  </r>
  <r>
    <x v="4"/>
    <s v="Moultrie Technical College"/>
    <n v="140599"/>
    <x v="9"/>
    <n v="79995"/>
    <n v="81789"/>
    <n v="67651"/>
    <n v="68485"/>
    <m/>
    <m/>
    <n v="12344"/>
    <n v="0"/>
    <n v="0"/>
    <n v="13304"/>
    <n v="0"/>
    <n v="0"/>
    <m/>
    <m/>
    <n v="0"/>
    <n v="0"/>
    <m/>
    <m/>
    <m/>
    <m/>
    <m/>
    <m/>
    <m/>
    <m/>
    <m/>
    <m/>
    <m/>
    <m/>
  </r>
  <r>
    <x v="4"/>
    <s v="North Georgia Technical College"/>
    <n v="140678"/>
    <x v="9"/>
    <n v="85373"/>
    <n v="87447"/>
    <n v="68412"/>
    <n v="60047"/>
    <m/>
    <m/>
    <n v="15635"/>
    <n v="1326"/>
    <n v="0"/>
    <n v="24928"/>
    <n v="2472"/>
    <n v="0"/>
    <m/>
    <m/>
    <n v="0"/>
    <n v="0"/>
    <m/>
    <m/>
    <m/>
    <m/>
    <m/>
    <m/>
    <m/>
    <m/>
    <m/>
    <m/>
    <m/>
    <m/>
  </r>
  <r>
    <x v="4"/>
    <s v="North Metro Technical College"/>
    <n v="366456"/>
    <x v="9"/>
    <n v="73598"/>
    <n v="85872"/>
    <n v="57105"/>
    <n v="63196"/>
    <m/>
    <m/>
    <n v="16493"/>
    <n v="0"/>
    <n v="0"/>
    <n v="22676"/>
    <n v="0"/>
    <n v="0"/>
    <m/>
    <m/>
    <n v="0"/>
    <n v="0"/>
    <m/>
    <m/>
    <m/>
    <m/>
    <m/>
    <m/>
    <m/>
    <m/>
    <m/>
    <m/>
    <m/>
    <m/>
  </r>
  <r>
    <x v="4"/>
    <s v="Northwestern Technical College"/>
    <n v="141273"/>
    <x v="9"/>
    <n v="81975"/>
    <n v="86543"/>
    <n v="56786"/>
    <n v="51904"/>
    <m/>
    <m/>
    <n v="25189"/>
    <n v="0"/>
    <n v="0"/>
    <n v="34639"/>
    <n v="0"/>
    <n v="0"/>
    <m/>
    <m/>
    <n v="0"/>
    <n v="0"/>
    <m/>
    <m/>
    <m/>
    <m/>
    <m/>
    <m/>
    <m/>
    <m/>
    <m/>
    <m/>
    <m/>
    <m/>
  </r>
  <r>
    <x v="4"/>
    <s v="Ogeechee Technical College"/>
    <n v="366465"/>
    <x v="9"/>
    <n v="73863"/>
    <n v="71637"/>
    <n v="49844"/>
    <n v="38398"/>
    <m/>
    <m/>
    <n v="24019"/>
    <n v="0"/>
    <n v="0"/>
    <n v="33239"/>
    <n v="0"/>
    <n v="0"/>
    <m/>
    <m/>
    <n v="0"/>
    <n v="0"/>
    <m/>
    <m/>
    <m/>
    <m/>
    <m/>
    <m/>
    <m/>
    <m/>
    <m/>
    <m/>
    <m/>
    <m/>
  </r>
  <r>
    <x v="4"/>
    <s v="Okefenokee Technical College"/>
    <n v="248776"/>
    <x v="9"/>
    <n v="51949"/>
    <n v="50525"/>
    <n v="43337"/>
    <n v="43217"/>
    <m/>
    <m/>
    <n v="8612"/>
    <n v="0"/>
    <n v="0"/>
    <n v="7308"/>
    <n v="0"/>
    <n v="0"/>
    <m/>
    <m/>
    <n v="0"/>
    <n v="0"/>
    <m/>
    <m/>
    <m/>
    <m/>
    <m/>
    <m/>
    <m/>
    <m/>
    <m/>
    <m/>
    <m/>
    <m/>
  </r>
  <r>
    <x v="4"/>
    <s v="Savannah Technical College"/>
    <n v="140942"/>
    <x v="9"/>
    <n v="153719"/>
    <n v="168980"/>
    <n v="125648"/>
    <n v="131961"/>
    <m/>
    <m/>
    <n v="28071"/>
    <n v="0"/>
    <n v="0"/>
    <n v="37019"/>
    <n v="0"/>
    <n v="0"/>
    <m/>
    <m/>
    <n v="0"/>
    <n v="0"/>
    <m/>
    <m/>
    <m/>
    <m/>
    <m/>
    <m/>
    <m/>
    <m/>
    <m/>
    <m/>
    <m/>
    <m/>
  </r>
  <r>
    <x v="4"/>
    <s v="South Georgia Technical College"/>
    <n v="141006"/>
    <x v="9"/>
    <n v="75814"/>
    <n v="79309"/>
    <n v="66524"/>
    <n v="70192"/>
    <m/>
    <m/>
    <n v="9290"/>
    <n v="0"/>
    <n v="0"/>
    <n v="9117"/>
    <n v="0"/>
    <n v="0"/>
    <m/>
    <m/>
    <n v="0"/>
    <n v="0"/>
    <m/>
    <m/>
    <m/>
    <m/>
    <m/>
    <m/>
    <m/>
    <m/>
    <m/>
    <m/>
    <m/>
    <m/>
  </r>
  <r>
    <x v="4"/>
    <s v="Southwest Georgia Technical College"/>
    <n v="141158"/>
    <x v="9"/>
    <n v="46840.3"/>
    <n v="47673.8"/>
    <n v="33972.300000000003"/>
    <n v="34448.800000000003"/>
    <m/>
    <m/>
    <n v="12868"/>
    <n v="0"/>
    <n v="0"/>
    <n v="13225"/>
    <n v="0"/>
    <n v="0"/>
    <m/>
    <m/>
    <n v="0"/>
    <n v="0"/>
    <m/>
    <m/>
    <m/>
    <m/>
    <m/>
    <m/>
    <m/>
    <m/>
    <m/>
    <m/>
    <m/>
    <m/>
  </r>
  <r>
    <x v="4"/>
    <s v="Valdosta Technical College"/>
    <n v="141255"/>
    <x v="9"/>
    <n v="88163"/>
    <n v="92048"/>
    <n v="78950"/>
    <n v="80094"/>
    <m/>
    <m/>
    <n v="9213"/>
    <n v="0"/>
    <n v="0"/>
    <n v="11954"/>
    <n v="0"/>
    <n v="0"/>
    <m/>
    <m/>
    <n v="0"/>
    <n v="0"/>
    <m/>
    <m/>
    <m/>
    <m/>
    <m/>
    <m/>
    <m/>
    <m/>
    <m/>
    <m/>
    <m/>
    <m/>
  </r>
  <r>
    <x v="4"/>
    <s v="West Central Technical College"/>
    <n v="139278"/>
    <x v="9"/>
    <n v="107106"/>
    <n v="125335"/>
    <n v="96802"/>
    <n v="111077"/>
    <m/>
    <m/>
    <n v="10304"/>
    <n v="0"/>
    <n v="0"/>
    <n v="14258"/>
    <n v="0"/>
    <n v="0"/>
    <m/>
    <m/>
    <n v="0"/>
    <n v="0"/>
    <m/>
    <m/>
    <m/>
    <m/>
    <m/>
    <m/>
    <m/>
    <m/>
    <m/>
    <m/>
    <m/>
    <m/>
  </r>
  <r>
    <x v="4"/>
    <s v="West Georgia Technical College"/>
    <n v="141228"/>
    <x v="9"/>
    <n v="63753.5"/>
    <n v="62953"/>
    <n v="51471.5"/>
    <n v="48536"/>
    <m/>
    <m/>
    <n v="12282"/>
    <n v="0"/>
    <n v="0"/>
    <n v="14417"/>
    <n v="0"/>
    <n v="0"/>
    <m/>
    <m/>
    <n v="0"/>
    <n v="0"/>
    <m/>
    <m/>
    <m/>
    <m/>
    <m/>
    <m/>
    <m/>
    <m/>
    <m/>
    <m/>
    <m/>
    <m/>
  </r>
  <r>
    <x v="4"/>
    <s v="Altamaha Technical College"/>
    <n v="366447"/>
    <x v="10"/>
    <n v="36658"/>
    <n v="32801"/>
    <n v="35915"/>
    <n v="31207"/>
    <m/>
    <m/>
    <n v="273"/>
    <n v="470"/>
    <n v="0"/>
    <n v="1469"/>
    <n v="125"/>
    <n v="0"/>
    <m/>
    <m/>
    <n v="0"/>
    <n v="0"/>
    <m/>
    <m/>
    <m/>
    <m/>
    <m/>
    <m/>
    <m/>
    <m/>
    <m/>
    <m/>
    <m/>
    <m/>
  </r>
  <r>
    <x v="4"/>
    <s v="Appalachian Technical College"/>
    <n v="140809"/>
    <x v="10"/>
    <n v="33624"/>
    <n v="36240"/>
    <n v="27419"/>
    <n v="23518"/>
    <m/>
    <m/>
    <n v="6205"/>
    <n v="0"/>
    <n v="0"/>
    <n v="12722"/>
    <n v="0"/>
    <n v="0"/>
    <m/>
    <m/>
    <n v="0"/>
    <n v="0"/>
    <m/>
    <m/>
    <m/>
    <m/>
    <m/>
    <m/>
    <m/>
    <m/>
    <m/>
    <m/>
    <m/>
    <m/>
  </r>
  <r>
    <x v="4"/>
    <s v="Flint River Technical College"/>
    <n v="248794"/>
    <x v="10"/>
    <n v="36839.9"/>
    <n v="37158.9"/>
    <n v="31423.9"/>
    <n v="31177.9"/>
    <m/>
    <m/>
    <n v="5416"/>
    <n v="0"/>
    <n v="0"/>
    <n v="5981"/>
    <n v="0"/>
    <n v="0"/>
    <m/>
    <m/>
    <n v="0"/>
    <n v="0"/>
    <m/>
    <m/>
    <m/>
    <m/>
    <m/>
    <m/>
    <m/>
    <m/>
    <m/>
    <m/>
    <m/>
    <m/>
  </r>
  <r>
    <x v="4"/>
    <s v="Sandersville Technical College"/>
    <n v="420431"/>
    <x v="10"/>
    <n v="26867"/>
    <n v="25565"/>
    <n v="25708"/>
    <n v="23338"/>
    <m/>
    <m/>
    <n v="1159"/>
    <n v="0"/>
    <n v="0"/>
    <n v="2227"/>
    <n v="0"/>
    <n v="0"/>
    <m/>
    <m/>
    <n v="0"/>
    <n v="0"/>
    <m/>
    <m/>
    <m/>
    <m/>
    <m/>
    <m/>
    <m/>
    <m/>
    <m/>
    <m/>
    <m/>
    <m/>
  </r>
  <r>
    <x v="4"/>
    <s v="Southeastern Technical College"/>
    <n v="368911"/>
    <x v="10"/>
    <n v="34472"/>
    <n v="38249"/>
    <n v="25678"/>
    <n v="28778"/>
    <m/>
    <m/>
    <n v="8794"/>
    <n v="0"/>
    <n v="0"/>
    <n v="9471"/>
    <n v="0"/>
    <n v="0"/>
    <m/>
    <m/>
    <n v="0"/>
    <n v="0"/>
    <m/>
    <m/>
    <m/>
    <m/>
    <m/>
    <m/>
    <m/>
    <m/>
    <m/>
    <m/>
    <m/>
    <m/>
  </r>
  <r>
    <x v="4"/>
    <s v="Swainsboro Technical College"/>
    <n v="141121"/>
    <x v="10"/>
    <n v="24465"/>
    <n v="24484"/>
    <n v="20381"/>
    <n v="18485"/>
    <m/>
    <m/>
    <n v="4084"/>
    <n v="0"/>
    <n v="0"/>
    <n v="5999"/>
    <n v="0"/>
    <n v="0"/>
    <m/>
    <m/>
    <n v="0"/>
    <n v="0"/>
    <m/>
    <m/>
    <m/>
    <m/>
    <m/>
    <m/>
    <m/>
    <m/>
    <m/>
    <m/>
    <m/>
    <m/>
  </r>
  <r>
    <x v="4"/>
    <s v="Georgia Gwinnett College"/>
    <n v="447689"/>
    <x v="12"/>
    <n v="10692"/>
    <n v="30979"/>
    <n v="10692"/>
    <n v="30979"/>
    <m/>
    <m/>
    <m/>
    <m/>
    <m/>
    <m/>
    <m/>
    <m/>
    <m/>
    <m/>
    <n v="0"/>
    <n v="0"/>
    <m/>
    <m/>
    <m/>
    <m/>
    <m/>
    <m/>
    <m/>
    <m/>
    <m/>
    <m/>
    <m/>
    <m/>
  </r>
  <r>
    <x v="5"/>
    <s v="University of Kentucky"/>
    <n v="157085"/>
    <x v="0"/>
    <n v="492801"/>
    <n v="514642"/>
    <n v="481504"/>
    <n v="499006"/>
    <n v="2051"/>
    <n v="2688"/>
    <n v="5943"/>
    <n v="880"/>
    <n v="2423"/>
    <n v="6725"/>
    <m/>
    <n v="6223"/>
    <m/>
    <m/>
    <n v="76067"/>
    <n v="81033"/>
    <n v="67862"/>
    <n v="69720"/>
    <n v="3510"/>
    <n v="3976"/>
    <n v="3874"/>
    <n v="465"/>
    <n v="356"/>
    <n v="6105"/>
    <m/>
    <n v="1232"/>
    <m/>
    <m/>
  </r>
  <r>
    <x v="5"/>
    <s v="University of Louisville"/>
    <n v="157289"/>
    <x v="0"/>
    <n v="378133"/>
    <n v="387922"/>
    <n v="354461"/>
    <n v="360391"/>
    <n v="9079"/>
    <n v="9227"/>
    <n v="14242"/>
    <n v="0"/>
    <n v="351"/>
    <n v="18031"/>
    <m/>
    <n v="273"/>
    <m/>
    <m/>
    <n v="80433"/>
    <n v="79712"/>
    <n v="69147"/>
    <n v="70218"/>
    <n v="6566"/>
    <n v="4593"/>
    <n v="4717"/>
    <m/>
    <n v="3"/>
    <n v="4901"/>
    <m/>
    <m/>
    <m/>
    <m/>
  </r>
  <r>
    <x v="5"/>
    <s v="Eastern Kentucky University "/>
    <n v="156620"/>
    <x v="2"/>
    <n v="358158"/>
    <n v="363578"/>
    <n v="299561"/>
    <n v="297251"/>
    <n v="30737"/>
    <n v="29693"/>
    <n v="16760"/>
    <n v="10353"/>
    <n v="747"/>
    <n v="25283"/>
    <n v="10505"/>
    <n v="846"/>
    <m/>
    <m/>
    <n v="36644"/>
    <n v="36796"/>
    <n v="23364"/>
    <n v="23182"/>
    <n v="4583"/>
    <n v="2314"/>
    <n v="6971"/>
    <n v="1723"/>
    <n v="3"/>
    <n v="9753"/>
    <n v="1547"/>
    <m/>
    <m/>
    <m/>
  </r>
  <r>
    <x v="5"/>
    <s v="Murray State University "/>
    <n v="157401"/>
    <x v="2"/>
    <n v="230522"/>
    <n v="226067"/>
    <n v="206415"/>
    <n v="200515"/>
    <n v="11612"/>
    <n v="11936"/>
    <n v="8240"/>
    <n v="3634"/>
    <n v="621"/>
    <n v="9412"/>
    <n v="3607"/>
    <n v="597"/>
    <m/>
    <m/>
    <n v="28553"/>
    <n v="29310"/>
    <n v="16514"/>
    <n v="15920"/>
    <n v="4928"/>
    <n v="5234"/>
    <n v="4983"/>
    <n v="2128"/>
    <m/>
    <n v="6187"/>
    <n v="1969"/>
    <m/>
    <m/>
    <m/>
  </r>
  <r>
    <x v="5"/>
    <s v="Western Kentucky University "/>
    <n v="157951"/>
    <x v="2"/>
    <n v="434109"/>
    <n v="440931"/>
    <n v="356937"/>
    <n v="354796"/>
    <n v="37810"/>
    <n v="38188"/>
    <n v="30155"/>
    <n v="6887"/>
    <n v="2320"/>
    <n v="38278"/>
    <n v="7306"/>
    <n v="2363"/>
    <m/>
    <m/>
    <n v="44088"/>
    <n v="44466"/>
    <n v="23390"/>
    <n v="22083"/>
    <n v="3398"/>
    <n v="3173"/>
    <n v="16316"/>
    <n v="920"/>
    <n v="64"/>
    <n v="18323"/>
    <n v="812"/>
    <n v="75"/>
    <m/>
    <m/>
  </r>
  <r>
    <x v="5"/>
    <s v="Morehead State University "/>
    <n v="157386"/>
    <x v="3"/>
    <n v="191305"/>
    <n v="187816"/>
    <n v="151129"/>
    <n v="142980"/>
    <n v="17237"/>
    <n v="14338"/>
    <n v="16193"/>
    <n v="5936"/>
    <n v="810"/>
    <n v="21642"/>
    <n v="8127"/>
    <n v="729"/>
    <m/>
    <m/>
    <n v="22887"/>
    <n v="22648"/>
    <n v="8478"/>
    <n v="7218"/>
    <n v="2028"/>
    <n v="1517"/>
    <n v="10926"/>
    <n v="1455"/>
    <m/>
    <n v="12878"/>
    <n v="1035"/>
    <m/>
    <m/>
    <m/>
  </r>
  <r>
    <x v="5"/>
    <s v="Northern Kentucky University "/>
    <n v="157447"/>
    <x v="3"/>
    <n v="314154"/>
    <n v="323636"/>
    <n v="293816"/>
    <n v="292901"/>
    <n v="10815"/>
    <n v="13707"/>
    <n v="8809"/>
    <n v="0"/>
    <n v="714"/>
    <n v="16416"/>
    <s v=" "/>
    <n v="612"/>
    <m/>
    <m/>
    <n v="36868"/>
    <n v="37514"/>
    <n v="30562"/>
    <n v="29541"/>
    <n v="966"/>
    <n v="1166"/>
    <n v="5340"/>
    <m/>
    <m/>
    <n v="6807"/>
    <m/>
    <m/>
    <m/>
    <m/>
  </r>
  <r>
    <x v="5"/>
    <s v="Kentucky State University "/>
    <n v="157058"/>
    <x v="4"/>
    <n v="61135"/>
    <n v="62327"/>
    <n v="53753"/>
    <n v="55636"/>
    <n v="0"/>
    <n v="0"/>
    <n v="6260"/>
    <n v="78"/>
    <n v="1044"/>
    <n v="6377"/>
    <n v="314"/>
    <n v="0"/>
    <m/>
    <m/>
    <n v="3206"/>
    <n v="2666"/>
    <n v="1749"/>
    <n v="1268"/>
    <m/>
    <m/>
    <n v="1457"/>
    <m/>
    <m/>
    <n v="1398"/>
    <m/>
    <m/>
    <m/>
    <m/>
  </r>
  <r>
    <x v="5"/>
    <s v="Bluegrass Community and Technical College"/>
    <n v="157173"/>
    <x v="6"/>
    <n v="215808"/>
    <n v="233103"/>
    <n v="169149"/>
    <n v="164495"/>
    <n v="15903"/>
    <n v="19915"/>
    <n v="28678"/>
    <n v="1772"/>
    <n v="306"/>
    <n v="47219"/>
    <n v="1315"/>
    <n v="159"/>
    <m/>
    <m/>
    <n v="0"/>
    <n v="0"/>
    <m/>
    <m/>
    <m/>
    <m/>
    <m/>
    <m/>
    <m/>
    <m/>
    <m/>
    <m/>
    <m/>
    <m/>
  </r>
  <r>
    <x v="5"/>
    <s v="Jefferson Community and Technical College "/>
    <n v="156921"/>
    <x v="6"/>
    <n v="240651"/>
    <n v="241737"/>
    <n v="187271"/>
    <n v="187228"/>
    <n v="21274"/>
    <n v="17991"/>
    <n v="31533"/>
    <n v="258"/>
    <n v="315"/>
    <n v="36008"/>
    <n v="369"/>
    <n v="141"/>
    <m/>
    <m/>
    <n v="0"/>
    <n v="0"/>
    <m/>
    <m/>
    <m/>
    <m/>
    <m/>
    <m/>
    <m/>
    <m/>
    <m/>
    <m/>
    <m/>
    <m/>
  </r>
  <r>
    <x v="5"/>
    <s v="Ashland Community and Technical College"/>
    <n v="156231"/>
    <x v="7"/>
    <n v="64712"/>
    <n v="67087"/>
    <n v="53839"/>
    <n v="52698"/>
    <n v="4957"/>
    <n v="4524"/>
    <n v="5784"/>
    <n v="48"/>
    <n v="84"/>
    <n v="9799"/>
    <m/>
    <n v="66"/>
    <m/>
    <m/>
    <n v="0"/>
    <n v="0"/>
    <m/>
    <m/>
    <m/>
    <m/>
    <m/>
    <m/>
    <m/>
    <m/>
    <m/>
    <m/>
    <m/>
    <m/>
  </r>
  <r>
    <x v="5"/>
    <s v="Big Sandy Community and Technical College "/>
    <n v="157553"/>
    <x v="7"/>
    <n v="75831"/>
    <n v="74811"/>
    <n v="35164"/>
    <n v="35241"/>
    <n v="13299"/>
    <n v="9164"/>
    <n v="26138"/>
    <n v="1200"/>
    <n v="30"/>
    <n v="29686"/>
    <n v="720"/>
    <m/>
    <m/>
    <m/>
    <n v="0"/>
    <n v="0"/>
    <m/>
    <m/>
    <m/>
    <m/>
    <m/>
    <m/>
    <m/>
    <m/>
    <m/>
    <m/>
    <m/>
    <m/>
  </r>
  <r>
    <x v="5"/>
    <s v="Elizabethtown Community and Technical College "/>
    <n v="156648"/>
    <x v="7"/>
    <n v="88232"/>
    <n v="94014"/>
    <n v="76833"/>
    <n v="78048"/>
    <n v="2777"/>
    <n v="2599"/>
    <n v="7542"/>
    <n v="0"/>
    <n v="1080"/>
    <n v="12542"/>
    <n v="825"/>
    <m/>
    <m/>
    <m/>
    <n v="0"/>
    <n v="0"/>
    <m/>
    <m/>
    <m/>
    <m/>
    <m/>
    <m/>
    <m/>
    <m/>
    <m/>
    <m/>
    <m/>
    <m/>
  </r>
  <r>
    <x v="5"/>
    <s v="Madisonville Community College"/>
    <n v="157304"/>
    <x v="7"/>
    <n v="60816"/>
    <n v="63807"/>
    <n v="53935"/>
    <n v="57180"/>
    <n v="370"/>
    <n v="414"/>
    <n v="5926"/>
    <n v="129"/>
    <n v="456"/>
    <n v="5769"/>
    <n v="300"/>
    <n v="144"/>
    <m/>
    <m/>
    <n v="0"/>
    <n v="0"/>
    <m/>
    <m/>
    <m/>
    <m/>
    <m/>
    <m/>
    <m/>
    <m/>
    <m/>
    <m/>
    <m/>
    <m/>
  </r>
  <r>
    <x v="5"/>
    <s v="Maysville Community and Technical College "/>
    <n v="157331"/>
    <x v="7"/>
    <n v="69233"/>
    <n v="74461"/>
    <n v="28814"/>
    <n v="28715"/>
    <n v="12515"/>
    <n v="11821"/>
    <n v="26779"/>
    <n v="1125"/>
    <m/>
    <n v="32739"/>
    <n v="43"/>
    <n v="1143"/>
    <m/>
    <m/>
    <n v="0"/>
    <n v="0"/>
    <m/>
    <m/>
    <m/>
    <m/>
    <m/>
    <m/>
    <m/>
    <m/>
    <m/>
    <m/>
    <m/>
    <m/>
  </r>
  <r>
    <x v="5"/>
    <s v="Owensboro Community and Technical College "/>
    <n v="247940"/>
    <x v="7"/>
    <n v="74179"/>
    <n v="79652"/>
    <n v="67366"/>
    <n v="73240"/>
    <n v="2736"/>
    <n v="905"/>
    <n v="3453"/>
    <n v="0"/>
    <n v="624"/>
    <n v="5162"/>
    <m/>
    <n v="345"/>
    <m/>
    <m/>
    <n v="0"/>
    <n v="0"/>
    <m/>
    <m/>
    <m/>
    <m/>
    <m/>
    <m/>
    <m/>
    <m/>
    <m/>
    <m/>
    <m/>
    <m/>
  </r>
  <r>
    <x v="5"/>
    <s v="Somerset Community and Technical College "/>
    <n v="157711"/>
    <x v="7"/>
    <n v="113839"/>
    <n v="110071"/>
    <n v="90868"/>
    <n v="84564"/>
    <n v="7793"/>
    <n v="6295"/>
    <n v="9691"/>
    <n v="5373"/>
    <n v="114"/>
    <n v="13282"/>
    <n v="5846"/>
    <n v="84"/>
    <m/>
    <m/>
    <n v="0"/>
    <n v="0"/>
    <m/>
    <m/>
    <m/>
    <m/>
    <m/>
    <m/>
    <m/>
    <m/>
    <m/>
    <m/>
    <m/>
    <m/>
  </r>
  <r>
    <x v="5"/>
    <s v="Southeast Kentucky Community and Technical College"/>
    <n v="157739"/>
    <x v="7"/>
    <n v="63637"/>
    <n v="61733"/>
    <n v="27776"/>
    <n v="24591"/>
    <n v="25295"/>
    <n v="23678"/>
    <n v="7627"/>
    <n v="1952"/>
    <n v="987"/>
    <n v="12157"/>
    <n v="920"/>
    <n v="387"/>
    <m/>
    <m/>
    <n v="0"/>
    <n v="0"/>
    <m/>
    <m/>
    <m/>
    <m/>
    <m/>
    <m/>
    <m/>
    <m/>
    <m/>
    <m/>
    <m/>
    <m/>
  </r>
  <r>
    <x v="5"/>
    <s v="West Kentucky Community and Technical College"/>
    <n v="157483"/>
    <x v="7"/>
    <n v="92837"/>
    <n v="95981"/>
    <n v="74975"/>
    <n v="71703"/>
    <n v="3043"/>
    <n v="2735"/>
    <n v="14531"/>
    <n v="273"/>
    <n v="15"/>
    <n v="21151"/>
    <n v="392"/>
    <m/>
    <m/>
    <m/>
    <n v="0"/>
    <n v="0"/>
    <m/>
    <m/>
    <m/>
    <m/>
    <m/>
    <m/>
    <m/>
    <m/>
    <m/>
    <m/>
    <m/>
    <m/>
  </r>
  <r>
    <x v="5"/>
    <s v="Hazard Community and Technical College"/>
    <n v="156790"/>
    <x v="8"/>
    <n v="58101"/>
    <n v="55478"/>
    <n v="46841"/>
    <n v="42829"/>
    <n v="1318"/>
    <n v="919"/>
    <n v="8207"/>
    <n v="1699"/>
    <n v="36"/>
    <n v="9984"/>
    <n v="1746"/>
    <m/>
    <m/>
    <m/>
    <n v="0"/>
    <n v="0"/>
    <m/>
    <m/>
    <m/>
    <m/>
    <m/>
    <m/>
    <m/>
    <m/>
    <m/>
    <m/>
    <m/>
    <m/>
  </r>
  <r>
    <x v="5"/>
    <s v="Henderson Community College "/>
    <n v="156851"/>
    <x v="8"/>
    <n v="33970"/>
    <n v="36843"/>
    <n v="22219"/>
    <n v="23233"/>
    <n v="1233"/>
    <n v="744"/>
    <n v="10131"/>
    <n v="387"/>
    <n v="0"/>
    <n v="12524"/>
    <n v="342"/>
    <m/>
    <m/>
    <m/>
    <n v="0"/>
    <n v="0"/>
    <m/>
    <m/>
    <m/>
    <m/>
    <m/>
    <m/>
    <m/>
    <m/>
    <m/>
    <m/>
    <m/>
    <m/>
  </r>
  <r>
    <x v="5"/>
    <s v="Hopkinsville Community College "/>
    <n v="156860"/>
    <x v="8"/>
    <n v="52834"/>
    <n v="56179"/>
    <n v="42976"/>
    <n v="42717"/>
    <n v="2466"/>
    <n v="2615"/>
    <n v="7362"/>
    <n v="0"/>
    <n v="30"/>
    <n v="10847"/>
    <m/>
    <m/>
    <m/>
    <m/>
    <n v="0"/>
    <n v="0"/>
    <m/>
    <m/>
    <m/>
    <m/>
    <m/>
    <m/>
    <m/>
    <m/>
    <m/>
    <m/>
    <m/>
    <m/>
  </r>
  <r>
    <x v="5"/>
    <s v="Bowling Green Technical College"/>
    <n v="156338"/>
    <x v="9"/>
    <n v="39134"/>
    <n v="39049"/>
    <n v="37517"/>
    <n v="36501"/>
    <n v="276"/>
    <n v="509"/>
    <n v="1341"/>
    <m/>
    <m/>
    <n v="2039"/>
    <m/>
    <m/>
    <m/>
    <m/>
    <n v="0"/>
    <n v="0"/>
    <m/>
    <m/>
    <m/>
    <m/>
    <m/>
    <m/>
    <m/>
    <m/>
    <m/>
    <m/>
    <m/>
    <m/>
  </r>
  <r>
    <x v="5"/>
    <s v="Gateway Community and Technical College"/>
    <n v="157438"/>
    <x v="9"/>
    <n v="44877"/>
    <n v="48812"/>
    <n v="43711"/>
    <n v="47844"/>
    <m/>
    <n v="73"/>
    <n v="1166"/>
    <m/>
    <m/>
    <n v="895"/>
    <m/>
    <m/>
    <m/>
    <m/>
    <n v="0"/>
    <n v="0"/>
    <m/>
    <m/>
    <m/>
    <m/>
    <m/>
    <m/>
    <m/>
    <m/>
    <m/>
    <m/>
    <m/>
    <m/>
  </r>
  <r>
    <x v="6"/>
    <s v="Louisiana State University and A &amp; M College"/>
    <n v="159391"/>
    <x v="0"/>
    <n v="734051"/>
    <n v="755896"/>
    <n v="696685"/>
    <n v="717006"/>
    <m/>
    <m/>
    <n v="420"/>
    <n v="0"/>
    <n v="0"/>
    <m/>
    <m/>
    <m/>
    <n v="36946"/>
    <n v="38890"/>
    <n v="104927.5"/>
    <n v="106587.5"/>
    <n v="102923.5"/>
    <n v="106587.5"/>
    <m/>
    <m/>
    <n v="336"/>
    <n v="1668"/>
    <n v="0"/>
    <m/>
    <m/>
    <m/>
    <m/>
    <m/>
  </r>
  <r>
    <x v="6"/>
    <s v="Louisiana Tech University "/>
    <n v="159647"/>
    <x v="1"/>
    <n v="244752"/>
    <n v="232931"/>
    <n v="241418"/>
    <n v="231653"/>
    <m/>
    <m/>
    <n v="3283"/>
    <n v="51"/>
    <n v="0"/>
    <n v="1278"/>
    <n v="0"/>
    <n v="0"/>
    <m/>
    <m/>
    <n v="28546"/>
    <n v="29304"/>
    <n v="24109"/>
    <n v="28728"/>
    <m/>
    <m/>
    <n v="3249"/>
    <n v="1188"/>
    <n v="0"/>
    <n v="276"/>
    <n v="300"/>
    <n v="0"/>
    <m/>
    <m/>
  </r>
  <r>
    <x v="6"/>
    <s v="University of Louisiana at Lafayette"/>
    <n v="160658"/>
    <x v="1"/>
    <n v="403435"/>
    <n v="399599"/>
    <n v="403435"/>
    <n v="399599"/>
    <m/>
    <m/>
    <n v="0"/>
    <n v="0"/>
    <n v="0"/>
    <m/>
    <m/>
    <m/>
    <m/>
    <m/>
    <n v="27385"/>
    <n v="27535"/>
    <n v="27385"/>
    <n v="27535"/>
    <m/>
    <m/>
    <n v="0"/>
    <n v="0"/>
    <n v="0"/>
    <m/>
    <m/>
    <m/>
    <m/>
    <m/>
  </r>
  <r>
    <x v="6"/>
    <s v="University of New Orleans"/>
    <n v="159939"/>
    <x v="1"/>
    <n v="229353"/>
    <n v="238184"/>
    <n v="229353"/>
    <n v="226749"/>
    <m/>
    <m/>
    <n v="0"/>
    <n v="0"/>
    <n v="0"/>
    <n v="11336"/>
    <n v="99"/>
    <n v="0"/>
    <m/>
    <m/>
    <n v="42422"/>
    <n v="45434"/>
    <n v="42422"/>
    <n v="44659"/>
    <m/>
    <m/>
    <n v="0"/>
    <n v="0"/>
    <n v="0"/>
    <n v="715"/>
    <n v="36"/>
    <n v="24"/>
    <m/>
    <m/>
  </r>
  <r>
    <x v="6"/>
    <s v="Southeastern Louisiana University "/>
    <n v="160612"/>
    <x v="2"/>
    <n v="364664"/>
    <n v="385243"/>
    <n v="341161"/>
    <n v="361116"/>
    <m/>
    <m/>
    <n v="20914"/>
    <n v="1269"/>
    <n v="1320"/>
    <n v="22411"/>
    <n v="957"/>
    <n v="759"/>
    <m/>
    <m/>
    <n v="23479"/>
    <n v="23588"/>
    <n v="20672"/>
    <n v="21808"/>
    <m/>
    <m/>
    <n v="2717"/>
    <n v="90"/>
    <n v="0"/>
    <n v="1690"/>
    <n v="90"/>
    <n v="0"/>
    <m/>
    <m/>
  </r>
  <r>
    <x v="6"/>
    <s v="Southern University and A&amp;M College at Baton Rouge "/>
    <n v="160621"/>
    <x v="2"/>
    <n v="232290"/>
    <n v="216677"/>
    <n v="232290"/>
    <n v="216677"/>
    <m/>
    <m/>
    <n v="0"/>
    <n v="0"/>
    <n v="0"/>
    <m/>
    <m/>
    <m/>
    <m/>
    <m/>
    <n v="18748"/>
    <n v="18359"/>
    <n v="18748"/>
    <n v="18359"/>
    <m/>
    <m/>
    <n v="0"/>
    <n v="0"/>
    <n v="0"/>
    <m/>
    <m/>
    <m/>
    <m/>
    <m/>
  </r>
  <r>
    <x v="6"/>
    <s v="University of Louisiana at Monroe"/>
    <n v="159993"/>
    <x v="2"/>
    <n v="203852"/>
    <n v="205494"/>
    <n v="198125"/>
    <n v="195240"/>
    <m/>
    <m/>
    <n v="5727"/>
    <n v="0"/>
    <n v="0"/>
    <n v="10254"/>
    <n v="0"/>
    <n v="0"/>
    <m/>
    <m/>
    <n v="22852"/>
    <n v="32909"/>
    <n v="21181"/>
    <n v="29540"/>
    <m/>
    <m/>
    <n v="1671"/>
    <n v="0"/>
    <n v="0"/>
    <n v="3369"/>
    <n v="0"/>
    <n v="0"/>
    <m/>
    <m/>
  </r>
  <r>
    <x v="6"/>
    <s v="Grambling State University"/>
    <n v="159009"/>
    <x v="3"/>
    <n v="139800"/>
    <n v="143239"/>
    <n v="139212"/>
    <n v="142624"/>
    <m/>
    <m/>
    <n v="504"/>
    <n v="84"/>
    <n v="0"/>
    <n v="513"/>
    <n v="102"/>
    <n v="0"/>
    <m/>
    <m/>
    <n v="8678"/>
    <n v="9995"/>
    <n v="7910"/>
    <n v="8561"/>
    <m/>
    <m/>
    <n v="768"/>
    <n v="0"/>
    <n v="0"/>
    <n v="1434"/>
    <n v="0"/>
    <n v="0"/>
    <m/>
    <m/>
  </r>
  <r>
    <x v="6"/>
    <s v="Louisiana State University in Shreveport"/>
    <n v="159416"/>
    <x v="3"/>
    <n v="85838"/>
    <n v="89547"/>
    <n v="85838"/>
    <n v="88083"/>
    <m/>
    <m/>
    <n v="0"/>
    <n v="0"/>
    <n v="0"/>
    <n v="1464"/>
    <n v="0"/>
    <n v="0"/>
    <m/>
    <m/>
    <n v="6113"/>
    <n v="6142"/>
    <n v="6113"/>
    <n v="5917"/>
    <m/>
    <m/>
    <n v="0"/>
    <n v="0"/>
    <n v="0"/>
    <n v="225"/>
    <n v="0"/>
    <n v="0"/>
    <m/>
    <m/>
  </r>
  <r>
    <x v="6"/>
    <s v="McNeese State University"/>
    <n v="159717"/>
    <x v="3"/>
    <n v="202823"/>
    <n v="217715"/>
    <n v="192375"/>
    <n v="203839"/>
    <m/>
    <m/>
    <n v="9420"/>
    <n v="153"/>
    <n v="875"/>
    <n v="12176"/>
    <n v="234"/>
    <n v="1466"/>
    <m/>
    <m/>
    <n v="15696"/>
    <n v="17520"/>
    <n v="13782"/>
    <n v="14687"/>
    <m/>
    <m/>
    <n v="1422"/>
    <n v="492"/>
    <n v="0"/>
    <n v="2038"/>
    <n v="699"/>
    <n v="96"/>
    <m/>
    <m/>
  </r>
  <r>
    <x v="6"/>
    <s v="Nicholls State University "/>
    <n v="159966"/>
    <x v="3"/>
    <n v="169903"/>
    <n v="180695"/>
    <n v="163048"/>
    <n v="173956"/>
    <m/>
    <m/>
    <n v="6678"/>
    <n v="177"/>
    <n v="0"/>
    <n v="6574"/>
    <n v="165"/>
    <n v="0"/>
    <m/>
    <m/>
    <n v="11263"/>
    <n v="9924"/>
    <n v="11041"/>
    <n v="9633"/>
    <m/>
    <m/>
    <n v="222"/>
    <n v="0"/>
    <n v="0"/>
    <n v="291"/>
    <n v="0"/>
    <n v="0"/>
    <m/>
    <m/>
  </r>
  <r>
    <x v="6"/>
    <s v="Northwestern State University"/>
    <n v="160038"/>
    <x v="3"/>
    <n v="221990"/>
    <n v="274532"/>
    <n v="179084"/>
    <n v="217933"/>
    <m/>
    <m/>
    <n v="38077"/>
    <n v="4829"/>
    <n v="0"/>
    <n v="52954"/>
    <n v="3645"/>
    <n v="0"/>
    <m/>
    <m/>
    <n v="17600"/>
    <n v="29199"/>
    <n v="8496"/>
    <n v="17142"/>
    <m/>
    <m/>
    <n v="8157"/>
    <n v="947"/>
    <n v="0"/>
    <n v="10974"/>
    <n v="1083"/>
    <n v="0"/>
    <m/>
    <m/>
  </r>
  <r>
    <x v="6"/>
    <s v="Southern University at New Orleans"/>
    <n v="160630"/>
    <x v="4"/>
    <n v="51998"/>
    <n v="60291"/>
    <n v="51998"/>
    <n v="60291"/>
    <m/>
    <m/>
    <n v="0"/>
    <n v="0"/>
    <n v="0"/>
    <m/>
    <m/>
    <m/>
    <m/>
    <m/>
    <n v="7962"/>
    <n v="9599"/>
    <n v="7962"/>
    <n v="9599"/>
    <m/>
    <m/>
    <n v="0"/>
    <n v="0"/>
    <n v="0"/>
    <m/>
    <m/>
    <m/>
    <m/>
    <m/>
  </r>
  <r>
    <x v="6"/>
    <s v="Louisiana State University at Alexandria"/>
    <n v="159382"/>
    <x v="11"/>
    <n v="57778"/>
    <n v="59004"/>
    <n v="55297"/>
    <n v="58126"/>
    <m/>
    <m/>
    <n v="2481"/>
    <n v="0"/>
    <n v="0"/>
    <n v="878"/>
    <n v="0"/>
    <n v="0"/>
    <m/>
    <m/>
    <n v="0"/>
    <n v="0"/>
    <n v="0"/>
    <m/>
    <m/>
    <m/>
    <n v="0"/>
    <n v="0"/>
    <n v="0"/>
    <n v="0"/>
    <n v="0"/>
    <n v="0"/>
    <m/>
    <m/>
  </r>
  <r>
    <x v="6"/>
    <s v="Delgado Community College "/>
    <n v="158662"/>
    <x v="6"/>
    <n v="267144"/>
    <n v="308612"/>
    <n v="237295"/>
    <n v="290744"/>
    <m/>
    <m/>
    <n v="25442"/>
    <n v="1890"/>
    <n v="2517"/>
    <n v="14344"/>
    <n v="1775"/>
    <n v="1749"/>
    <m/>
    <m/>
    <n v="0"/>
    <n v="0"/>
    <n v="0"/>
    <m/>
    <m/>
    <m/>
    <n v="0"/>
    <n v="0"/>
    <n v="0"/>
    <n v="0"/>
    <n v="0"/>
    <n v="0"/>
    <m/>
    <m/>
  </r>
  <r>
    <x v="6"/>
    <s v="Baton Rouge Community College"/>
    <n v="437103"/>
    <x v="7"/>
    <n v="141599"/>
    <n v="158272"/>
    <n v="134524"/>
    <n v="152573"/>
    <m/>
    <m/>
    <n v="7075"/>
    <n v="0"/>
    <n v="0"/>
    <n v="5699"/>
    <n v="0"/>
    <n v="0"/>
    <m/>
    <m/>
    <n v="0"/>
    <n v="0"/>
    <n v="0"/>
    <m/>
    <m/>
    <m/>
    <n v="0"/>
    <n v="0"/>
    <n v="0"/>
    <n v="0"/>
    <n v="0"/>
    <n v="0"/>
    <m/>
    <m/>
  </r>
  <r>
    <x v="6"/>
    <s v="Bossier Parish Community College"/>
    <n v="158431"/>
    <x v="7"/>
    <n v="105416"/>
    <n v="123946"/>
    <n v="89477"/>
    <n v="104823"/>
    <m/>
    <m/>
    <n v="15939"/>
    <n v="0"/>
    <n v="0"/>
    <n v="18450"/>
    <n v="673"/>
    <n v="0"/>
    <m/>
    <m/>
    <n v="0"/>
    <n v="0"/>
    <n v="0"/>
    <m/>
    <m/>
    <m/>
    <n v="0"/>
    <n v="0"/>
    <n v="0"/>
    <n v="0"/>
    <n v="0"/>
    <n v="0"/>
    <m/>
    <m/>
  </r>
  <r>
    <x v="6"/>
    <s v="Louisiana State University at Eunice"/>
    <n v="159407"/>
    <x v="7"/>
    <n v="59784"/>
    <n v="62184"/>
    <n v="58277"/>
    <n v="60994"/>
    <m/>
    <m/>
    <n v="1371"/>
    <n v="136"/>
    <n v="0"/>
    <n v="1190"/>
    <n v="0"/>
    <n v="0"/>
    <m/>
    <m/>
    <n v="0"/>
    <n v="0"/>
    <n v="0"/>
    <m/>
    <m/>
    <m/>
    <n v="0"/>
    <n v="0"/>
    <n v="0"/>
    <n v="0"/>
    <n v="0"/>
    <n v="0"/>
    <m/>
    <m/>
  </r>
  <r>
    <x v="6"/>
    <s v="Louisiana Delta Community College"/>
    <n v="440624"/>
    <x v="8"/>
    <n v="25091"/>
    <n v="30122"/>
    <n v="25091"/>
    <n v="30122"/>
    <m/>
    <m/>
    <n v="0"/>
    <n v="0"/>
    <n v="0"/>
    <m/>
    <m/>
    <m/>
    <m/>
    <m/>
    <n v="0"/>
    <n v="0"/>
    <n v="0"/>
    <m/>
    <m/>
    <m/>
    <n v="0"/>
    <n v="0"/>
    <n v="0"/>
    <m/>
    <m/>
    <m/>
    <m/>
    <m/>
  </r>
  <r>
    <x v="6"/>
    <s v="Nunez Community College"/>
    <n v="158884"/>
    <x v="8"/>
    <n v="24767"/>
    <n v="32805"/>
    <n v="22505"/>
    <n v="29199"/>
    <m/>
    <m/>
    <n v="2262"/>
    <n v="0"/>
    <n v="0"/>
    <n v="3606"/>
    <n v="0"/>
    <n v="0"/>
    <m/>
    <m/>
    <n v="0"/>
    <n v="0"/>
    <n v="0"/>
    <m/>
    <m/>
    <m/>
    <n v="0"/>
    <n v="0"/>
    <n v="0"/>
    <n v="0"/>
    <n v="0"/>
    <n v="0"/>
    <m/>
    <m/>
  </r>
  <r>
    <x v="6"/>
    <s v="River Parishes Community College"/>
    <n v="436304"/>
    <x v="8"/>
    <n v="19581"/>
    <n v="21760"/>
    <n v="19581"/>
    <n v="21760"/>
    <m/>
    <m/>
    <n v="0"/>
    <n v="0"/>
    <n v="0"/>
    <m/>
    <m/>
    <m/>
    <m/>
    <m/>
    <n v="0"/>
    <n v="0"/>
    <n v="0"/>
    <m/>
    <m/>
    <m/>
    <n v="0"/>
    <n v="0"/>
    <n v="0"/>
    <m/>
    <m/>
    <m/>
    <m/>
    <m/>
  </r>
  <r>
    <x v="6"/>
    <s v="South Louisiana Community College"/>
    <n v="434061"/>
    <x v="8"/>
    <n v="51085"/>
    <n v="62868"/>
    <n v="51085"/>
    <n v="62868"/>
    <m/>
    <m/>
    <n v="0"/>
    <n v="0"/>
    <n v="0"/>
    <n v="0"/>
    <n v="0"/>
    <n v="0"/>
    <m/>
    <m/>
    <n v="0"/>
    <n v="0"/>
    <n v="0"/>
    <m/>
    <m/>
    <m/>
    <n v="0"/>
    <n v="0"/>
    <n v="0"/>
    <n v="0"/>
    <n v="0"/>
    <n v="0"/>
    <m/>
    <m/>
  </r>
  <r>
    <x v="6"/>
    <s v="Southern University in Shreveport"/>
    <n v="160649"/>
    <x v="8"/>
    <n v="56204"/>
    <n v="56463"/>
    <n v="56204"/>
    <n v="56463"/>
    <m/>
    <m/>
    <n v="0"/>
    <n v="0"/>
    <n v="0"/>
    <m/>
    <m/>
    <m/>
    <m/>
    <m/>
    <n v="0"/>
    <n v="0"/>
    <n v="0"/>
    <m/>
    <m/>
    <m/>
    <n v="0"/>
    <n v="0"/>
    <n v="0"/>
    <m/>
    <m/>
    <m/>
    <m/>
    <m/>
  </r>
  <r>
    <x v="6"/>
    <s v="Sowela Technical Community College"/>
    <n v="160579"/>
    <x v="9"/>
    <n v="42229"/>
    <n v="43753"/>
    <n v="42229"/>
    <n v="43753"/>
    <m/>
    <m/>
    <n v="0"/>
    <n v="0"/>
    <n v="0"/>
    <m/>
    <m/>
    <m/>
    <m/>
    <m/>
    <n v="0"/>
    <n v="0"/>
    <n v="0"/>
    <m/>
    <m/>
    <m/>
    <n v="0"/>
    <n v="0"/>
    <n v="0"/>
    <m/>
    <m/>
    <m/>
    <m/>
    <m/>
  </r>
  <r>
    <x v="6"/>
    <s v="L.E. Fletcher Technical Community College"/>
    <n v="160481"/>
    <x v="10"/>
    <n v="23674.5"/>
    <n v="27636.5"/>
    <n v="23674.5"/>
    <n v="27636.5"/>
    <m/>
    <m/>
    <n v="0"/>
    <n v="0"/>
    <n v="0"/>
    <m/>
    <m/>
    <m/>
    <m/>
    <m/>
    <n v="0"/>
    <n v="0"/>
    <n v="0"/>
    <m/>
    <m/>
    <m/>
    <n v="0"/>
    <n v="0"/>
    <n v="0"/>
    <m/>
    <m/>
    <m/>
    <m/>
    <m/>
  </r>
  <r>
    <x v="6"/>
    <s v="Louisiana Technical College- Alexandria Campus"/>
    <n v="158088"/>
    <x v="13"/>
    <n v="0"/>
    <n v="0"/>
    <m/>
    <m/>
    <m/>
    <m/>
    <m/>
    <m/>
    <m/>
    <m/>
    <m/>
    <m/>
    <m/>
    <m/>
    <n v="0"/>
    <n v="0"/>
    <m/>
    <m/>
    <m/>
    <m/>
    <m/>
    <m/>
    <m/>
    <m/>
    <m/>
    <m/>
    <m/>
    <m/>
  </r>
  <r>
    <x v="6"/>
    <s v="Louisiana Technical College-Acadian Campus"/>
    <n v="160560"/>
    <x v="13"/>
    <n v="0"/>
    <n v="0"/>
    <m/>
    <m/>
    <m/>
    <m/>
    <m/>
    <m/>
    <m/>
    <m/>
    <m/>
    <m/>
    <m/>
    <m/>
    <n v="0"/>
    <n v="0"/>
    <m/>
    <m/>
    <m/>
    <m/>
    <m/>
    <m/>
    <m/>
    <m/>
    <m/>
    <m/>
    <m/>
    <m/>
  </r>
  <r>
    <x v="6"/>
    <s v="Louisiana Technical College-All Campuses"/>
    <m/>
    <x v="13"/>
    <n v="389826"/>
    <n v="422560.5"/>
    <n v="389826"/>
    <n v="422560.5"/>
    <m/>
    <m/>
    <n v="0"/>
    <n v="0"/>
    <n v="0"/>
    <m/>
    <m/>
    <m/>
    <m/>
    <m/>
    <n v="0"/>
    <n v="0"/>
    <n v="0"/>
    <m/>
    <m/>
    <m/>
    <n v="0"/>
    <n v="0"/>
    <n v="0"/>
    <m/>
    <m/>
    <m/>
    <m/>
    <m/>
  </r>
  <r>
    <x v="6"/>
    <s v="Louisiana Technical College-Ascension Campus"/>
    <n v="158219"/>
    <x v="13"/>
    <n v="0"/>
    <n v="0"/>
    <m/>
    <m/>
    <m/>
    <m/>
    <m/>
    <m/>
    <m/>
    <m/>
    <m/>
    <m/>
    <m/>
    <m/>
    <n v="0"/>
    <n v="0"/>
    <m/>
    <m/>
    <m/>
    <m/>
    <m/>
    <m/>
    <m/>
    <m/>
    <m/>
    <m/>
    <m/>
    <m/>
  </r>
  <r>
    <x v="6"/>
    <s v="Louisiana Technical College-Avoyelles Campus"/>
    <n v="158237"/>
    <x v="13"/>
    <n v="0"/>
    <n v="0"/>
    <m/>
    <m/>
    <m/>
    <m/>
    <m/>
    <m/>
    <m/>
    <m/>
    <m/>
    <m/>
    <m/>
    <m/>
    <n v="0"/>
    <n v="0"/>
    <m/>
    <m/>
    <m/>
    <m/>
    <m/>
    <m/>
    <m/>
    <m/>
    <m/>
    <m/>
    <m/>
    <m/>
  </r>
  <r>
    <x v="6"/>
    <s v="Louisiana Technical College-Bastrop Campus"/>
    <n v="158307"/>
    <x v="13"/>
    <n v="0"/>
    <n v="0"/>
    <m/>
    <m/>
    <m/>
    <m/>
    <m/>
    <m/>
    <m/>
    <m/>
    <m/>
    <m/>
    <m/>
    <m/>
    <n v="0"/>
    <n v="0"/>
    <m/>
    <m/>
    <m/>
    <m/>
    <m/>
    <m/>
    <m/>
    <m/>
    <m/>
    <m/>
    <m/>
    <m/>
  </r>
  <r>
    <x v="6"/>
    <s v="Louisiana Technical College-Baton Rouge Campus"/>
    <n v="158352"/>
    <x v="13"/>
    <n v="0"/>
    <n v="0"/>
    <m/>
    <m/>
    <m/>
    <m/>
    <m/>
    <m/>
    <m/>
    <m/>
    <m/>
    <m/>
    <m/>
    <m/>
    <n v="0"/>
    <n v="0"/>
    <m/>
    <m/>
    <m/>
    <m/>
    <m/>
    <m/>
    <m/>
    <m/>
    <m/>
    <m/>
    <m/>
    <m/>
  </r>
  <r>
    <x v="6"/>
    <s v="Louisiana Technical College-Charles B. Coreil Campus"/>
    <n v="160816"/>
    <x v="13"/>
    <n v="0"/>
    <n v="0"/>
    <m/>
    <m/>
    <m/>
    <m/>
    <m/>
    <m/>
    <m/>
    <m/>
    <m/>
    <m/>
    <m/>
    <m/>
    <n v="0"/>
    <n v="0"/>
    <m/>
    <m/>
    <m/>
    <m/>
    <m/>
    <m/>
    <m/>
    <m/>
    <m/>
    <m/>
    <m/>
    <m/>
  </r>
  <r>
    <x v="6"/>
    <s v="Louisiana Technical College-Delta/Ouachita Campus"/>
    <n v="158769"/>
    <x v="13"/>
    <n v="0"/>
    <n v="0"/>
    <m/>
    <m/>
    <m/>
    <m/>
    <m/>
    <m/>
    <m/>
    <m/>
    <m/>
    <m/>
    <m/>
    <m/>
    <n v="0"/>
    <n v="0"/>
    <m/>
    <m/>
    <m/>
    <m/>
    <m/>
    <m/>
    <m/>
    <m/>
    <m/>
    <m/>
    <m/>
    <m/>
  </r>
  <r>
    <x v="6"/>
    <s v="Louisiana Technical College-Evangeline Campus"/>
    <n v="158893"/>
    <x v="13"/>
    <n v="0"/>
    <n v="0"/>
    <m/>
    <m/>
    <m/>
    <m/>
    <m/>
    <m/>
    <m/>
    <m/>
    <m/>
    <m/>
    <m/>
    <m/>
    <n v="0"/>
    <n v="0"/>
    <m/>
    <m/>
    <m/>
    <m/>
    <m/>
    <m/>
    <m/>
    <m/>
    <m/>
    <m/>
    <m/>
    <m/>
  </r>
  <r>
    <x v="6"/>
    <s v="Louisiana Technical College-Florida Parishes Campus"/>
    <n v="158936"/>
    <x v="13"/>
    <n v="0"/>
    <n v="0"/>
    <m/>
    <m/>
    <m/>
    <m/>
    <m/>
    <m/>
    <m/>
    <m/>
    <m/>
    <m/>
    <m/>
    <m/>
    <n v="0"/>
    <n v="0"/>
    <m/>
    <m/>
    <m/>
    <m/>
    <m/>
    <m/>
    <m/>
    <m/>
    <m/>
    <m/>
    <m/>
    <m/>
  </r>
  <r>
    <x v="6"/>
    <s v="Louisiana Technical College-Folkes Campus"/>
    <n v="158945"/>
    <x v="13"/>
    <n v="0"/>
    <n v="0"/>
    <m/>
    <m/>
    <m/>
    <m/>
    <m/>
    <m/>
    <m/>
    <m/>
    <m/>
    <m/>
    <m/>
    <m/>
    <n v="0"/>
    <n v="0"/>
    <m/>
    <m/>
    <m/>
    <m/>
    <m/>
    <m/>
    <m/>
    <m/>
    <m/>
    <m/>
    <m/>
    <m/>
  </r>
  <r>
    <x v="6"/>
    <s v="Louisiana Technical College-Gulf Area Campus"/>
    <n v="159018"/>
    <x v="13"/>
    <n v="0"/>
    <n v="0"/>
    <m/>
    <m/>
    <m/>
    <m/>
    <m/>
    <m/>
    <m/>
    <m/>
    <m/>
    <m/>
    <m/>
    <m/>
    <n v="0"/>
    <n v="0"/>
    <m/>
    <m/>
    <m/>
    <m/>
    <m/>
    <m/>
    <m/>
    <m/>
    <m/>
    <m/>
    <m/>
    <m/>
  </r>
  <r>
    <x v="6"/>
    <s v="Louisiana Technical College-Hammond Area Campus"/>
    <n v="159045"/>
    <x v="13"/>
    <n v="0"/>
    <n v="0"/>
    <m/>
    <m/>
    <m/>
    <m/>
    <m/>
    <m/>
    <m/>
    <m/>
    <m/>
    <m/>
    <m/>
    <m/>
    <n v="0"/>
    <n v="0"/>
    <m/>
    <m/>
    <m/>
    <m/>
    <m/>
    <m/>
    <m/>
    <m/>
    <m/>
    <m/>
    <m/>
    <m/>
  </r>
  <r>
    <x v="6"/>
    <s v="Louisiana Technical College-Huey P. Long Campus"/>
    <n v="159090"/>
    <x v="13"/>
    <n v="0"/>
    <n v="0"/>
    <m/>
    <m/>
    <m/>
    <m/>
    <m/>
    <m/>
    <m/>
    <m/>
    <m/>
    <m/>
    <m/>
    <m/>
    <n v="0"/>
    <n v="0"/>
    <m/>
    <m/>
    <m/>
    <m/>
    <m/>
    <m/>
    <m/>
    <m/>
    <m/>
    <m/>
    <m/>
    <m/>
  </r>
  <r>
    <x v="6"/>
    <s v="Louisiana Technical College-Jefferson Campus"/>
    <n v="159258"/>
    <x v="13"/>
    <n v="0"/>
    <n v="0"/>
    <m/>
    <m/>
    <m/>
    <m/>
    <m/>
    <m/>
    <m/>
    <m/>
    <m/>
    <m/>
    <m/>
    <m/>
    <n v="0"/>
    <n v="0"/>
    <m/>
    <m/>
    <m/>
    <m/>
    <m/>
    <m/>
    <m/>
    <m/>
    <m/>
    <m/>
    <m/>
    <m/>
  </r>
  <r>
    <x v="6"/>
    <s v="Louisiana Technical College-Jumonville Memorial Campus"/>
    <n v="160214"/>
    <x v="13"/>
    <n v="0"/>
    <n v="0"/>
    <m/>
    <m/>
    <m/>
    <m/>
    <m/>
    <m/>
    <m/>
    <m/>
    <m/>
    <m/>
    <m/>
    <m/>
    <n v="0"/>
    <n v="0"/>
    <m/>
    <m/>
    <m/>
    <m/>
    <m/>
    <m/>
    <m/>
    <m/>
    <m/>
    <m/>
    <m/>
    <m/>
  </r>
  <r>
    <x v="6"/>
    <s v="Louisiana Technical College-Lafayette Campus"/>
    <n v="159443"/>
    <x v="13"/>
    <n v="0"/>
    <n v="0"/>
    <m/>
    <m/>
    <m/>
    <m/>
    <m/>
    <m/>
    <m/>
    <m/>
    <m/>
    <m/>
    <m/>
    <m/>
    <n v="0"/>
    <n v="0"/>
    <m/>
    <m/>
    <m/>
    <m/>
    <m/>
    <m/>
    <m/>
    <m/>
    <m/>
    <m/>
    <m/>
    <m/>
  </r>
  <r>
    <x v="6"/>
    <s v="Louisiana Technical College-Lafourche Campus"/>
    <n v="160719"/>
    <x v="13"/>
    <n v="0"/>
    <n v="0"/>
    <m/>
    <m/>
    <m/>
    <m/>
    <m/>
    <m/>
    <m/>
    <m/>
    <m/>
    <m/>
    <m/>
    <m/>
    <n v="0"/>
    <n v="0"/>
    <m/>
    <m/>
    <m/>
    <m/>
    <m/>
    <m/>
    <m/>
    <m/>
    <m/>
    <m/>
    <m/>
    <m/>
  </r>
  <r>
    <x v="6"/>
    <s v="Louisiana Technical College-Lamar Salter Campus"/>
    <n v="160843"/>
    <x v="13"/>
    <n v="0"/>
    <n v="0"/>
    <m/>
    <m/>
    <m/>
    <m/>
    <m/>
    <m/>
    <m/>
    <m/>
    <m/>
    <m/>
    <m/>
    <m/>
    <n v="0"/>
    <n v="0"/>
    <m/>
    <m/>
    <m/>
    <m/>
    <m/>
    <m/>
    <m/>
    <m/>
    <m/>
    <m/>
    <m/>
    <m/>
  </r>
  <r>
    <x v="6"/>
    <s v="Louisiana Technical College-Mansfield Campus"/>
    <n v="159692"/>
    <x v="13"/>
    <n v="0"/>
    <n v="0"/>
    <m/>
    <m/>
    <m/>
    <m/>
    <m/>
    <m/>
    <m/>
    <m/>
    <m/>
    <m/>
    <m/>
    <m/>
    <n v="0"/>
    <n v="0"/>
    <m/>
    <m/>
    <m/>
    <m/>
    <m/>
    <m/>
    <m/>
    <m/>
    <m/>
    <m/>
    <m/>
    <m/>
  </r>
  <r>
    <x v="6"/>
    <s v="Louisiana Technical College-Morgan Smith Campus"/>
    <n v="159249"/>
    <x v="13"/>
    <n v="0"/>
    <n v="0"/>
    <m/>
    <m/>
    <m/>
    <m/>
    <m/>
    <m/>
    <m/>
    <m/>
    <m/>
    <m/>
    <m/>
    <m/>
    <n v="0"/>
    <n v="0"/>
    <m/>
    <m/>
    <m/>
    <m/>
    <m/>
    <m/>
    <m/>
    <m/>
    <m/>
    <m/>
    <m/>
    <m/>
  </r>
  <r>
    <x v="6"/>
    <s v="Louisiana Technical College-Nachitoches Campus"/>
    <n v="159823"/>
    <x v="13"/>
    <n v="0"/>
    <n v="0"/>
    <m/>
    <m/>
    <m/>
    <m/>
    <m/>
    <m/>
    <m/>
    <m/>
    <m/>
    <m/>
    <m/>
    <m/>
    <n v="0"/>
    <n v="0"/>
    <m/>
    <m/>
    <m/>
    <m/>
    <m/>
    <m/>
    <m/>
    <m/>
    <m/>
    <m/>
    <m/>
    <m/>
  </r>
  <r>
    <x v="6"/>
    <s v="Louisiana Technical College-North Central Campus"/>
    <n v="159984"/>
    <x v="13"/>
    <n v="0"/>
    <n v="0"/>
    <m/>
    <m/>
    <m/>
    <m/>
    <m/>
    <m/>
    <m/>
    <m/>
    <m/>
    <m/>
    <m/>
    <m/>
    <n v="0"/>
    <n v="0"/>
    <m/>
    <m/>
    <m/>
    <m/>
    <m/>
    <m/>
    <m/>
    <m/>
    <m/>
    <m/>
    <m/>
    <m/>
  </r>
  <r>
    <x v="6"/>
    <s v="Louisiana Technical College-Northeast Louisiana Campus"/>
    <n v="160001"/>
    <x v="13"/>
    <n v="0"/>
    <n v="0"/>
    <m/>
    <m/>
    <m/>
    <m/>
    <m/>
    <m/>
    <m/>
    <m/>
    <m/>
    <m/>
    <m/>
    <m/>
    <n v="0"/>
    <n v="0"/>
    <m/>
    <m/>
    <m/>
    <m/>
    <m/>
    <m/>
    <m/>
    <m/>
    <m/>
    <m/>
    <m/>
    <m/>
  </r>
  <r>
    <x v="6"/>
    <s v="Louisiana Technical College-Northwest Louisiana Campus"/>
    <n v="160010"/>
    <x v="13"/>
    <n v="0"/>
    <n v="0"/>
    <m/>
    <m/>
    <m/>
    <m/>
    <m/>
    <m/>
    <m/>
    <m/>
    <m/>
    <m/>
    <m/>
    <m/>
    <n v="0"/>
    <n v="0"/>
    <m/>
    <m/>
    <m/>
    <m/>
    <m/>
    <m/>
    <m/>
    <m/>
    <m/>
    <m/>
    <m/>
    <m/>
  </r>
  <r>
    <x v="6"/>
    <s v="Louisiana Technical College-Oakdale Campus"/>
    <n v="160047"/>
    <x v="13"/>
    <n v="0"/>
    <n v="0"/>
    <m/>
    <m/>
    <m/>
    <m/>
    <m/>
    <m/>
    <m/>
    <m/>
    <m/>
    <m/>
    <m/>
    <m/>
    <n v="0"/>
    <n v="0"/>
    <m/>
    <m/>
    <m/>
    <m/>
    <m/>
    <m/>
    <m/>
    <m/>
    <m/>
    <m/>
    <m/>
    <m/>
  </r>
  <r>
    <x v="6"/>
    <s v="Louisiana Technical College-River Parishes Campus"/>
    <n v="160311"/>
    <x v="13"/>
    <n v="0"/>
    <n v="0"/>
    <m/>
    <m/>
    <m/>
    <m/>
    <m/>
    <m/>
    <m/>
    <m/>
    <m/>
    <m/>
    <m/>
    <m/>
    <n v="0"/>
    <n v="0"/>
    <m/>
    <m/>
    <m/>
    <m/>
    <m/>
    <m/>
    <m/>
    <m/>
    <m/>
    <m/>
    <m/>
    <m/>
  </r>
  <r>
    <x v="6"/>
    <s v="Louisiana Technical College-Ruston Campus"/>
    <n v="160366"/>
    <x v="13"/>
    <n v="0"/>
    <n v="0"/>
    <m/>
    <m/>
    <m/>
    <m/>
    <m/>
    <m/>
    <m/>
    <m/>
    <m/>
    <m/>
    <m/>
    <m/>
    <n v="0"/>
    <n v="0"/>
    <m/>
    <m/>
    <m/>
    <m/>
    <m/>
    <m/>
    <m/>
    <m/>
    <m/>
    <m/>
    <m/>
    <m/>
  </r>
  <r>
    <x v="6"/>
    <s v="Louisiana Technical College-Sabine Valley Campus"/>
    <n v="160384"/>
    <x v="13"/>
    <n v="0"/>
    <n v="0"/>
    <m/>
    <m/>
    <m/>
    <m/>
    <m/>
    <m/>
    <m/>
    <m/>
    <m/>
    <m/>
    <m/>
    <m/>
    <n v="0"/>
    <n v="0"/>
    <m/>
    <m/>
    <m/>
    <m/>
    <m/>
    <m/>
    <m/>
    <m/>
    <m/>
    <m/>
    <m/>
    <m/>
  </r>
  <r>
    <x v="6"/>
    <s v="Louisiana Technical College-Shelby M. Jackson Campus"/>
    <n v="158583"/>
    <x v="13"/>
    <n v="0"/>
    <n v="0"/>
    <m/>
    <m/>
    <m/>
    <m/>
    <m/>
    <m/>
    <m/>
    <m/>
    <m/>
    <m/>
    <m/>
    <m/>
    <n v="0"/>
    <n v="0"/>
    <m/>
    <m/>
    <m/>
    <m/>
    <m/>
    <m/>
    <m/>
    <m/>
    <m/>
    <m/>
    <m/>
    <m/>
  </r>
  <r>
    <x v="6"/>
    <s v="Louisiana Technical College-Shreveport/Bossier Campus"/>
    <n v="160427"/>
    <x v="13"/>
    <n v="0"/>
    <n v="0"/>
    <m/>
    <m/>
    <m/>
    <m/>
    <m/>
    <m/>
    <m/>
    <m/>
    <m/>
    <m/>
    <m/>
    <m/>
    <n v="0"/>
    <n v="0"/>
    <m/>
    <m/>
    <m/>
    <m/>
    <m/>
    <m/>
    <m/>
    <m/>
    <m/>
    <m/>
    <m/>
    <m/>
  </r>
  <r>
    <x v="6"/>
    <s v="Louisiana Technical College-Sidney N. Collier Campus"/>
    <n v="160436"/>
    <x v="13"/>
    <n v="0"/>
    <n v="0"/>
    <m/>
    <m/>
    <m/>
    <m/>
    <m/>
    <m/>
    <m/>
    <m/>
    <m/>
    <m/>
    <m/>
    <m/>
    <n v="0"/>
    <n v="0"/>
    <m/>
    <m/>
    <m/>
    <m/>
    <m/>
    <m/>
    <m/>
    <m/>
    <m/>
    <m/>
    <m/>
    <m/>
  </r>
  <r>
    <x v="6"/>
    <s v="Louisiana Technical College-Slidell Campus"/>
    <n v="160454"/>
    <x v="13"/>
    <n v="0"/>
    <n v="0"/>
    <m/>
    <m/>
    <m/>
    <m/>
    <m/>
    <m/>
    <m/>
    <m/>
    <m/>
    <m/>
    <m/>
    <m/>
    <n v="0"/>
    <n v="0"/>
    <m/>
    <m/>
    <m/>
    <m/>
    <m/>
    <m/>
    <m/>
    <m/>
    <m/>
    <m/>
    <m/>
    <m/>
  </r>
  <r>
    <x v="6"/>
    <s v="Louisiana Technical College-Sullivan Campus"/>
    <n v="160667"/>
    <x v="13"/>
    <n v="0"/>
    <n v="0"/>
    <m/>
    <m/>
    <m/>
    <m/>
    <m/>
    <m/>
    <m/>
    <m/>
    <m/>
    <m/>
    <m/>
    <m/>
    <n v="0"/>
    <n v="0"/>
    <m/>
    <m/>
    <m/>
    <m/>
    <m/>
    <m/>
    <m/>
    <m/>
    <m/>
    <m/>
    <m/>
    <m/>
  </r>
  <r>
    <x v="6"/>
    <s v="Louisiana Technical College-T.H. Harris Campus"/>
    <n v="160676"/>
    <x v="13"/>
    <n v="0"/>
    <n v="0"/>
    <m/>
    <m/>
    <m/>
    <m/>
    <m/>
    <m/>
    <m/>
    <m/>
    <m/>
    <m/>
    <m/>
    <m/>
    <n v="0"/>
    <n v="0"/>
    <m/>
    <m/>
    <m/>
    <m/>
    <m/>
    <m/>
    <m/>
    <m/>
    <m/>
    <m/>
    <m/>
    <m/>
  </r>
  <r>
    <x v="6"/>
    <s v="Louisiana Technical College-Tallulah Campus"/>
    <n v="160685"/>
    <x v="13"/>
    <n v="0"/>
    <n v="0"/>
    <m/>
    <m/>
    <m/>
    <m/>
    <m/>
    <m/>
    <m/>
    <m/>
    <m/>
    <m/>
    <m/>
    <m/>
    <n v="0"/>
    <n v="0"/>
    <m/>
    <m/>
    <m/>
    <m/>
    <m/>
    <m/>
    <m/>
    <m/>
    <m/>
    <m/>
    <m/>
    <m/>
  </r>
  <r>
    <x v="6"/>
    <s v="Louisiana Technical College-Teche Area Campus"/>
    <n v="160694"/>
    <x v="13"/>
    <n v="0"/>
    <n v="0"/>
    <m/>
    <m/>
    <m/>
    <m/>
    <m/>
    <m/>
    <m/>
    <m/>
    <m/>
    <m/>
    <m/>
    <m/>
    <n v="0"/>
    <n v="0"/>
    <m/>
    <m/>
    <m/>
    <m/>
    <m/>
    <m/>
    <m/>
    <m/>
    <m/>
    <m/>
    <m/>
    <m/>
  </r>
  <r>
    <x v="6"/>
    <s v="Louisiana Technical College-West Jefferson Campus"/>
    <n v="159267"/>
    <x v="13"/>
    <n v="0"/>
    <n v="0"/>
    <m/>
    <m/>
    <m/>
    <m/>
    <m/>
    <m/>
    <m/>
    <m/>
    <m/>
    <m/>
    <m/>
    <m/>
    <n v="0"/>
    <n v="0"/>
    <m/>
    <m/>
    <m/>
    <m/>
    <m/>
    <m/>
    <m/>
    <m/>
    <m/>
    <m/>
    <m/>
    <m/>
  </r>
  <r>
    <x v="6"/>
    <s v="Louisiana Technical College-Westside Campus"/>
    <n v="160870"/>
    <x v="13"/>
    <n v="0"/>
    <n v="0"/>
    <m/>
    <m/>
    <m/>
    <m/>
    <m/>
    <m/>
    <m/>
    <m/>
    <m/>
    <m/>
    <m/>
    <m/>
    <n v="0"/>
    <n v="0"/>
    <m/>
    <m/>
    <m/>
    <m/>
    <m/>
    <m/>
    <m/>
    <m/>
    <m/>
    <m/>
    <m/>
    <m/>
  </r>
  <r>
    <x v="6"/>
    <s v="Louisiana Technical College-Young Memorial Campus"/>
    <n v="160913"/>
    <x v="13"/>
    <n v="0"/>
    <n v="0"/>
    <m/>
    <m/>
    <m/>
    <m/>
    <m/>
    <m/>
    <m/>
    <m/>
    <m/>
    <m/>
    <m/>
    <m/>
    <n v="0"/>
    <n v="0"/>
    <m/>
    <m/>
    <m/>
    <m/>
    <m/>
    <m/>
    <m/>
    <m/>
    <m/>
    <m/>
    <m/>
    <m/>
  </r>
  <r>
    <x v="7"/>
    <s v="University of Maryland College Park"/>
    <n v="163286"/>
    <x v="0"/>
    <n v="772784"/>
    <n v="779086.5"/>
    <n v="754358"/>
    <n v="760602.5"/>
    <n v="14990"/>
    <n v="14058"/>
    <n v="2803"/>
    <n v="633"/>
    <n v="0"/>
    <n v="4087"/>
    <n v="339"/>
    <n v="0"/>
    <n v="0"/>
    <n v="0"/>
    <n v="149363"/>
    <n v="148639.25"/>
    <n v="117447"/>
    <n v="115063.25"/>
    <n v="27850"/>
    <n v="29747"/>
    <n v="3234"/>
    <n v="832"/>
    <m/>
    <n v="3092"/>
    <n v="737"/>
    <n v="0"/>
    <m/>
    <n v="0"/>
  </r>
  <r>
    <x v="7"/>
    <s v="University of Maryland, Baltimore County"/>
    <n v="163268"/>
    <x v="1"/>
    <n v="256485"/>
    <n v="252345"/>
    <n v="251714"/>
    <n v="246729"/>
    <n v="4015"/>
    <n v="4678"/>
    <n v="756"/>
    <m/>
    <m/>
    <n v="938"/>
    <n v="0"/>
    <n v="0"/>
    <m/>
    <n v="0"/>
    <n v="23578"/>
    <n v="25309"/>
    <n v="18185"/>
    <n v="18667"/>
    <n v="2335"/>
    <n v="3159"/>
    <n v="3058"/>
    <m/>
    <m/>
    <n v="3483"/>
    <n v="0"/>
    <n v="0"/>
    <m/>
    <n v="0"/>
  </r>
  <r>
    <x v="7"/>
    <s v="Morgan State University"/>
    <n v="163453"/>
    <x v="2"/>
    <n v="159957"/>
    <n v="163588"/>
    <n v="159829"/>
    <n v="163087"/>
    <n v="128"/>
    <n v="362"/>
    <m/>
    <m/>
    <m/>
    <n v="139"/>
    <n v="0"/>
    <n v="0"/>
    <m/>
    <n v="0"/>
    <n v="11867"/>
    <n v="13707"/>
    <n v="11867"/>
    <n v="13263"/>
    <m/>
    <n v="423"/>
    <m/>
    <m/>
    <m/>
    <n v="21"/>
    <n v="0"/>
    <n v="0"/>
    <m/>
    <n v="0"/>
  </r>
  <r>
    <x v="7"/>
    <s v="Towson University "/>
    <n v="164076"/>
    <x v="2"/>
    <n v="444576"/>
    <n v="476204.5"/>
    <n v="426394"/>
    <n v="457162.5"/>
    <n v="6674"/>
    <n v="6662"/>
    <n v="11508"/>
    <m/>
    <m/>
    <n v="12380"/>
    <n v="0"/>
    <n v="0"/>
    <m/>
    <n v="0"/>
    <n v="53291"/>
    <n v="52483"/>
    <n v="33780"/>
    <n v="31725"/>
    <n v="16280"/>
    <n v="17128"/>
    <n v="3231"/>
    <m/>
    <m/>
    <n v="3630"/>
    <n v="0"/>
    <n v="0"/>
    <m/>
    <n v="0"/>
  </r>
  <r>
    <x v="7"/>
    <s v="Bowie State University "/>
    <n v="162007"/>
    <x v="3"/>
    <n v="115867"/>
    <n v="119823"/>
    <n v="113206"/>
    <n v="115507"/>
    <n v="66"/>
    <n v="848"/>
    <m/>
    <m/>
    <n v="2595"/>
    <n v="2178"/>
    <n v="0"/>
    <n v="1290"/>
    <m/>
    <n v="0"/>
    <n v="16444"/>
    <n v="15774"/>
    <n v="15718"/>
    <n v="15359"/>
    <n v="726"/>
    <n v="199"/>
    <n v="0"/>
    <n v="0"/>
    <n v="0"/>
    <n v="216"/>
    <n v="0"/>
    <n v="0"/>
    <m/>
    <n v="0"/>
  </r>
  <r>
    <x v="7"/>
    <s v="Coppin State University"/>
    <n v="162283"/>
    <x v="3"/>
    <n v="83133"/>
    <n v="84589"/>
    <n v="70046"/>
    <n v="74909"/>
    <n v="2969"/>
    <n v="1140"/>
    <n v="10118"/>
    <m/>
    <m/>
    <n v="8540"/>
    <n v="0"/>
    <n v="0"/>
    <m/>
    <n v="0"/>
    <n v="9305"/>
    <n v="9586"/>
    <n v="4739"/>
    <n v="6685"/>
    <n v="3762"/>
    <n v="2526"/>
    <n v="804"/>
    <m/>
    <m/>
    <n v="375"/>
    <n v="0"/>
    <n v="0"/>
    <m/>
    <n v="0"/>
  </r>
  <r>
    <x v="7"/>
    <s v="Frostburg State University "/>
    <n v="162584"/>
    <x v="3"/>
    <n v="122232"/>
    <n v="127379"/>
    <n v="114418"/>
    <n v="115693"/>
    <n v="1370"/>
    <n v="1918"/>
    <n v="6396"/>
    <n v="48"/>
    <m/>
    <n v="9579"/>
    <n v="189"/>
    <n v="0"/>
    <m/>
    <n v="0"/>
    <n v="10912"/>
    <n v="10718"/>
    <n v="5797"/>
    <n v="4760"/>
    <n v="2700"/>
    <n v="2936"/>
    <n v="2142"/>
    <n v="273"/>
    <m/>
    <n v="2842"/>
    <n v="180"/>
    <n v="0"/>
    <m/>
    <n v="0"/>
  </r>
  <r>
    <x v="7"/>
    <s v="Salisbury University "/>
    <n v="163851"/>
    <x v="3"/>
    <n v="201405"/>
    <n v="213277"/>
    <n v="193451"/>
    <n v="202984"/>
    <n v="385"/>
    <n v="570"/>
    <n v="7395"/>
    <n v="174"/>
    <m/>
    <n v="9047"/>
    <n v="676"/>
    <n v="0"/>
    <m/>
    <n v="0"/>
    <n v="9346"/>
    <n v="9649"/>
    <n v="8318"/>
    <n v="7879"/>
    <n v="80"/>
    <n v="159"/>
    <n v="711"/>
    <n v="237"/>
    <m/>
    <n v="1166"/>
    <n v="445"/>
    <n v="0"/>
    <m/>
    <n v="0"/>
  </r>
  <r>
    <x v="7"/>
    <s v="University of Baltimore"/>
    <n v="161873"/>
    <x v="3"/>
    <n v="47433"/>
    <n v="54599"/>
    <n v="40506"/>
    <n v="45947"/>
    <n v="483"/>
    <n v="690"/>
    <n v="6444"/>
    <m/>
    <m/>
    <n v="7962"/>
    <n v="0"/>
    <n v="0"/>
    <m/>
    <n v="0"/>
    <n v="54436"/>
    <n v="57345"/>
    <n v="44431"/>
    <n v="45918"/>
    <n v="3393"/>
    <n v="4140"/>
    <n v="6612"/>
    <m/>
    <m/>
    <n v="7287"/>
    <n v="0"/>
    <n v="0"/>
    <m/>
    <n v="0"/>
  </r>
  <r>
    <x v="7"/>
    <s v="University of Maryland Eastern Shore "/>
    <n v="163338"/>
    <x v="3"/>
    <n v="101560"/>
    <n v="105414"/>
    <n v="97295"/>
    <n v="102181"/>
    <n v="2255"/>
    <n v="1504"/>
    <n v="2010"/>
    <m/>
    <m/>
    <n v="1729"/>
    <n v="0"/>
    <n v="0"/>
    <m/>
    <n v="0"/>
    <n v="6565"/>
    <n v="7404"/>
    <n v="5996"/>
    <n v="7192"/>
    <n v="366"/>
    <n v="101"/>
    <n v="203"/>
    <m/>
    <m/>
    <n v="111"/>
    <n v="0"/>
    <n v="0"/>
    <m/>
    <n v="0"/>
  </r>
  <r>
    <x v="7"/>
    <s v="Saint Mary's College of Maryland"/>
    <n v="163912"/>
    <x v="5"/>
    <n v="60301"/>
    <n v="61934"/>
    <n v="59761"/>
    <n v="61934"/>
    <n v="540"/>
    <n v="0"/>
    <m/>
    <m/>
    <m/>
    <n v="0"/>
    <n v="0"/>
    <n v="0"/>
    <m/>
    <n v="0"/>
    <n v="624"/>
    <n v="1282"/>
    <n v="624"/>
    <n v="1282"/>
    <m/>
    <n v="0"/>
    <m/>
    <m/>
    <m/>
    <n v="0"/>
    <n v="0"/>
    <n v="0"/>
    <m/>
    <n v="0"/>
  </r>
  <r>
    <x v="7"/>
    <s v="Anne Arundel Community College "/>
    <n v="161767"/>
    <x v="6"/>
    <n v="267469"/>
    <n v="276100"/>
    <n v="217131"/>
    <n v="220849"/>
    <n v="5099"/>
    <n v="5203"/>
    <n v="42982"/>
    <n v="340"/>
    <n v="1917"/>
    <n v="47983"/>
    <n v="301"/>
    <n v="1764"/>
    <m/>
    <n v="0"/>
    <n v="0"/>
    <n v="0"/>
    <m/>
    <m/>
    <m/>
    <m/>
    <m/>
    <m/>
    <m/>
    <m/>
    <m/>
    <m/>
    <m/>
    <m/>
  </r>
  <r>
    <x v="7"/>
    <s v="Community College of Baltimore County (all campuses)"/>
    <n v="434672"/>
    <x v="6"/>
    <n v="354783"/>
    <n v="370148.5"/>
    <n v="291924"/>
    <n v="304273"/>
    <n v="31645"/>
    <n v="30246.5"/>
    <n v="30533"/>
    <n v="681"/>
    <m/>
    <n v="35245"/>
    <n v="384"/>
    <n v="0"/>
    <m/>
    <n v="0"/>
    <n v="0"/>
    <n v="0"/>
    <m/>
    <m/>
    <m/>
    <m/>
    <m/>
    <m/>
    <m/>
    <m/>
    <m/>
    <m/>
    <m/>
    <m/>
  </r>
  <r>
    <x v="7"/>
    <s v="Montgomery College (all campuses)"/>
    <n v="163426"/>
    <x v="6"/>
    <n v="463589"/>
    <n v="570269.69000000006"/>
    <n v="435573"/>
    <n v="476358.36"/>
    <n v="3911"/>
    <n v="65497.8"/>
    <n v="24105"/>
    <m/>
    <m/>
    <n v="28413.53"/>
    <n v="0"/>
    <n v="0"/>
    <m/>
    <n v="0"/>
    <n v="0"/>
    <n v="0"/>
    <m/>
    <m/>
    <m/>
    <m/>
    <m/>
    <m/>
    <m/>
    <m/>
    <m/>
    <m/>
    <m/>
    <m/>
  </r>
  <r>
    <x v="7"/>
    <s v="Prince George's Community College "/>
    <n v="163657"/>
    <x v="6"/>
    <n v="210473"/>
    <n v="211482"/>
    <n v="159261"/>
    <n v="156047"/>
    <n v="28345"/>
    <n v="28567"/>
    <n v="22867"/>
    <m/>
    <m/>
    <n v="26868"/>
    <n v="0"/>
    <n v="0"/>
    <m/>
    <n v="0"/>
    <n v="0"/>
    <n v="0"/>
    <m/>
    <m/>
    <m/>
    <m/>
    <m/>
    <m/>
    <m/>
    <m/>
    <m/>
    <m/>
    <m/>
    <m/>
  </r>
  <r>
    <x v="7"/>
    <s v="Allegany College of Maryland"/>
    <n v="161688"/>
    <x v="7"/>
    <n v="68936"/>
    <n v="74103"/>
    <n v="48090"/>
    <n v="49660"/>
    <n v="15342"/>
    <n v="16299"/>
    <n v="3255"/>
    <n v="1523"/>
    <n v="726"/>
    <n v="6193"/>
    <n v="1534"/>
    <n v="417"/>
    <m/>
    <n v="0"/>
    <n v="0"/>
    <n v="0"/>
    <m/>
    <m/>
    <m/>
    <m/>
    <m/>
    <m/>
    <m/>
    <m/>
    <m/>
    <m/>
    <m/>
    <m/>
  </r>
  <r>
    <x v="7"/>
    <s v="Baltimore City Community College"/>
    <n v="161864"/>
    <x v="7"/>
    <n v="138997"/>
    <n v="222666"/>
    <n v="111920"/>
    <n v="142783"/>
    <n v="9401"/>
    <n v="47707"/>
    <n v="17676"/>
    <m/>
    <m/>
    <n v="32176"/>
    <n v="0"/>
    <n v="0"/>
    <m/>
    <n v="0"/>
    <n v="0"/>
    <n v="0"/>
    <m/>
    <m/>
    <m/>
    <m/>
    <m/>
    <m/>
    <m/>
    <m/>
    <m/>
    <m/>
    <m/>
    <m/>
  </r>
  <r>
    <x v="7"/>
    <s v="College of Southern Maryland"/>
    <n v="162122"/>
    <x v="7"/>
    <n v="135205"/>
    <n v="142423"/>
    <n v="106123"/>
    <n v="108221"/>
    <n v="2337"/>
    <n v="2288"/>
    <n v="22503"/>
    <n v="1606"/>
    <n v="2636"/>
    <n v="28289"/>
    <n v="1091"/>
    <n v="2534"/>
    <m/>
    <n v="0"/>
    <n v="0"/>
    <n v="0"/>
    <m/>
    <m/>
    <m/>
    <m/>
    <m/>
    <m/>
    <m/>
    <m/>
    <m/>
    <m/>
    <m/>
    <m/>
  </r>
  <r>
    <x v="7"/>
    <s v="Frederick Community College "/>
    <n v="162557"/>
    <x v="7"/>
    <n v="102169"/>
    <n v="101603"/>
    <n v="88454"/>
    <n v="84864"/>
    <n v="2015"/>
    <n v="3500"/>
    <n v="11700"/>
    <m/>
    <m/>
    <n v="13239"/>
    <n v="0"/>
    <n v="0"/>
    <m/>
    <n v="0"/>
    <n v="0"/>
    <n v="0"/>
    <m/>
    <m/>
    <m/>
    <m/>
    <m/>
    <m/>
    <m/>
    <m/>
    <m/>
    <m/>
    <m/>
    <m/>
  </r>
  <r>
    <x v="7"/>
    <s v="Hagerstown Community College "/>
    <n v="162690"/>
    <x v="7"/>
    <n v="69936"/>
    <n v="75137"/>
    <n v="58990"/>
    <n v="60978"/>
    <n v="5425"/>
    <n v="6375"/>
    <n v="5128"/>
    <n v="21"/>
    <n v="315"/>
    <n v="7331"/>
    <n v="0"/>
    <n v="312"/>
    <n v="57"/>
    <n v="141"/>
    <n v="0"/>
    <n v="0"/>
    <m/>
    <m/>
    <m/>
    <m/>
    <m/>
    <m/>
    <m/>
    <m/>
    <m/>
    <m/>
    <m/>
    <m/>
  </r>
  <r>
    <x v="7"/>
    <s v="Harford Community College "/>
    <n v="162706"/>
    <x v="7"/>
    <n v="106478"/>
    <n v="111572"/>
    <n v="92565"/>
    <n v="96952"/>
    <n v="1115"/>
    <n v="1154"/>
    <n v="12798"/>
    <m/>
    <m/>
    <n v="13466"/>
    <n v="0"/>
    <n v="0"/>
    <m/>
    <n v="0"/>
    <n v="0"/>
    <n v="0"/>
    <m/>
    <m/>
    <m/>
    <m/>
    <m/>
    <m/>
    <m/>
    <m/>
    <m/>
    <m/>
    <m/>
    <m/>
  </r>
  <r>
    <x v="7"/>
    <s v="Howard Community College "/>
    <n v="162779"/>
    <x v="7"/>
    <n v="139278"/>
    <n v="146974"/>
    <n v="124343"/>
    <n v="131343"/>
    <n v="5350"/>
    <n v="5421"/>
    <n v="9036"/>
    <m/>
    <n v="549"/>
    <n v="9700"/>
    <n v="0"/>
    <n v="510"/>
    <m/>
    <n v="0"/>
    <n v="0"/>
    <n v="0"/>
    <m/>
    <m/>
    <m/>
    <m/>
    <m/>
    <m/>
    <m/>
    <m/>
    <m/>
    <m/>
    <m/>
    <m/>
  </r>
  <r>
    <x v="7"/>
    <s v="Carroll Community College"/>
    <n v="405872"/>
    <x v="8"/>
    <n v="57335"/>
    <n v="60742"/>
    <n v="51202"/>
    <n v="53999"/>
    <n v="389"/>
    <n v="123"/>
    <n v="5669"/>
    <n v="75"/>
    <m/>
    <n v="6509"/>
    <n v="111"/>
    <n v="0"/>
    <m/>
    <n v="0"/>
    <n v="0"/>
    <n v="0"/>
    <m/>
    <m/>
    <m/>
    <m/>
    <m/>
    <m/>
    <m/>
    <m/>
    <m/>
    <m/>
    <m/>
    <m/>
  </r>
  <r>
    <x v="7"/>
    <s v="Cecil Community College "/>
    <n v="162104"/>
    <x v="8"/>
    <n v="39281.5"/>
    <n v="42571.5"/>
    <n v="35768.5"/>
    <n v="36802.5"/>
    <n v="888"/>
    <n v="1053"/>
    <n v="2625"/>
    <m/>
    <m/>
    <n v="4716"/>
    <n v="0"/>
    <n v="0"/>
    <m/>
    <n v="0"/>
    <n v="0"/>
    <n v="0"/>
    <m/>
    <m/>
    <m/>
    <m/>
    <m/>
    <m/>
    <m/>
    <m/>
    <m/>
    <m/>
    <m/>
    <m/>
  </r>
  <r>
    <x v="7"/>
    <s v="Chesapeake College "/>
    <n v="162168"/>
    <x v="8"/>
    <n v="44265"/>
    <n v="45201"/>
    <n v="27763"/>
    <n v="30335"/>
    <n v="8083"/>
    <n v="9006"/>
    <n v="5621"/>
    <n v="2750"/>
    <m/>
    <n v="4859"/>
    <n v="984"/>
    <n v="0"/>
    <n v="48"/>
    <n v="17"/>
    <n v="0"/>
    <n v="0"/>
    <m/>
    <m/>
    <m/>
    <m/>
    <m/>
    <m/>
    <m/>
    <m/>
    <m/>
    <m/>
    <m/>
    <m/>
  </r>
  <r>
    <x v="7"/>
    <s v="Garrett College "/>
    <n v="162609"/>
    <x v="8"/>
    <n v="68936"/>
    <n v="18753.5"/>
    <n v="48090"/>
    <n v="15275.5"/>
    <n v="15342"/>
    <n v="1310"/>
    <n v="3255"/>
    <n v="1523"/>
    <n v="726"/>
    <n v="1774"/>
    <n v="394"/>
    <n v="0"/>
    <m/>
    <n v="0"/>
    <n v="0"/>
    <n v="0"/>
    <m/>
    <m/>
    <m/>
    <m/>
    <m/>
    <m/>
    <m/>
    <m/>
    <m/>
    <m/>
    <m/>
    <m/>
  </r>
  <r>
    <x v="7"/>
    <s v="Wor-Wic Community College "/>
    <n v="164313"/>
    <x v="8"/>
    <n v="59470"/>
    <n v="65989"/>
    <n v="54222"/>
    <n v="58262"/>
    <n v="361"/>
    <n v="975"/>
    <n v="4257"/>
    <n v="42"/>
    <n v="588"/>
    <n v="6353"/>
    <n v="93"/>
    <n v="306"/>
    <m/>
    <n v="0"/>
    <n v="0"/>
    <n v="0"/>
    <m/>
    <m/>
    <m/>
    <m/>
    <m/>
    <m/>
    <m/>
    <m/>
    <m/>
    <m/>
    <m/>
    <m/>
  </r>
  <r>
    <x v="7"/>
    <s v="University of Maryland University College"/>
    <n v="163204"/>
    <x v="12"/>
    <n v="361100"/>
    <n v="351195"/>
    <m/>
    <n v="0"/>
    <n v="67891"/>
    <n v="57945"/>
    <n v="293209"/>
    <m/>
    <m/>
    <n v="293250"/>
    <n v="0"/>
    <n v="0"/>
    <m/>
    <n v="0"/>
    <n v="121682"/>
    <n v="109857"/>
    <m/>
    <m/>
    <n v="11717"/>
    <n v="6549"/>
    <n v="109965"/>
    <m/>
    <m/>
    <n v="103308"/>
    <m/>
    <m/>
    <m/>
    <m/>
  </r>
  <r>
    <x v="8"/>
    <s v="Mississippi State University"/>
    <n v="176080"/>
    <x v="0"/>
    <n v="359401"/>
    <n v="375736"/>
    <n v="327691"/>
    <n v="345219"/>
    <n v="13441"/>
    <n v="13554"/>
    <n v="12428"/>
    <n v="600"/>
    <n v="2706"/>
    <n v="12989"/>
    <n v="525"/>
    <n v="1100"/>
    <n v="2535"/>
    <n v="2349"/>
    <n v="58988"/>
    <n v="58559"/>
    <n v="45479"/>
    <n v="44571"/>
    <n v="3395"/>
    <n v="3513"/>
    <n v="9966"/>
    <n v="112"/>
    <n v="21"/>
    <n v="10275"/>
    <n v="158"/>
    <n v="39"/>
    <n v="15"/>
    <n v="3"/>
  </r>
  <r>
    <x v="8"/>
    <s v="University of Southern Mississippi"/>
    <n v="176372"/>
    <x v="0"/>
    <n v="318142"/>
    <n v="320459"/>
    <n v="258962"/>
    <n v="256306"/>
    <n v="35501"/>
    <n v="36504"/>
    <n v="19936"/>
    <n v="443"/>
    <n v="3300"/>
    <n v="24529"/>
    <n v="549"/>
    <n v="2571"/>
    <n v="0"/>
    <m/>
    <n v="56867"/>
    <n v="58389"/>
    <n v="41674"/>
    <n v="40195"/>
    <n v="7730"/>
    <n v="7925"/>
    <n v="6914"/>
    <n v="549"/>
    <m/>
    <n v="9487"/>
    <n v="782"/>
    <s v=" "/>
    <n v="0"/>
    <m/>
  </r>
  <r>
    <x v="8"/>
    <s v="Jackson State University "/>
    <n v="175856"/>
    <x v="1"/>
    <n v="167214"/>
    <n v="156429"/>
    <n v="157054"/>
    <n v="146626"/>
    <n v="7005"/>
    <n v="6186"/>
    <n v="3155"/>
    <m/>
    <m/>
    <n v="3617"/>
    <m/>
    <m/>
    <m/>
    <m/>
    <n v="29394"/>
    <n v="28022"/>
    <n v="22533"/>
    <n v="20929"/>
    <n v="5409"/>
    <n v="5326"/>
    <n v="1452"/>
    <m/>
    <m/>
    <n v="1767"/>
    <m/>
    <m/>
    <m/>
    <m/>
  </r>
  <r>
    <x v="8"/>
    <s v="University of Mississippi"/>
    <n v="176017"/>
    <x v="1"/>
    <n v="367799"/>
    <n v="368672"/>
    <n v="325489"/>
    <n v="328216"/>
    <n v="18988"/>
    <n v="23431"/>
    <n v="14859"/>
    <n v="8463"/>
    <m/>
    <n v="7948"/>
    <n v="9071"/>
    <m/>
    <m/>
    <n v="6"/>
    <n v="57044"/>
    <n v="55031"/>
    <n v="52191"/>
    <n v="49889"/>
    <n v="3515"/>
    <n v="3765"/>
    <n v="1137"/>
    <n v="201"/>
    <m/>
    <n v="849"/>
    <n v="528"/>
    <m/>
    <m/>
    <m/>
  </r>
  <r>
    <x v="8"/>
    <s v="Alcorn State University"/>
    <n v="175342"/>
    <x v="3"/>
    <n v="83421"/>
    <n v="77919"/>
    <n v="77633"/>
    <n v="75893"/>
    <m/>
    <n v="0"/>
    <n v="5147"/>
    <m/>
    <n v="641"/>
    <n v="1929"/>
    <n v="35"/>
    <n v="62"/>
    <m/>
    <m/>
    <n v="10906"/>
    <n v="11283"/>
    <n v="9783"/>
    <n v="9489"/>
    <m/>
    <m/>
    <n v="974"/>
    <m/>
    <n v="149"/>
    <n v="1764"/>
    <n v="30"/>
    <m/>
    <m/>
    <m/>
  </r>
  <r>
    <x v="8"/>
    <s v="Delta State University"/>
    <n v="175616"/>
    <x v="3"/>
    <n v="85634"/>
    <n v="81838"/>
    <n v="79601"/>
    <n v="72235"/>
    <n v="3513"/>
    <n v="1850"/>
    <n v="2520"/>
    <m/>
    <m/>
    <n v="7585"/>
    <m/>
    <n v="168"/>
    <m/>
    <m/>
    <n v="12580"/>
    <n v="12817"/>
    <n v="11268"/>
    <n v="7633"/>
    <n v="981"/>
    <n v="525"/>
    <n v="331"/>
    <m/>
    <m/>
    <n v="4551"/>
    <m/>
    <n v="108"/>
    <m/>
    <m/>
  </r>
  <r>
    <x v="8"/>
    <s v="Mississippi University for Women"/>
    <n v="176035"/>
    <x v="4"/>
    <n v="57179"/>
    <n v="55506"/>
    <n v="52664"/>
    <n v="50006"/>
    <m/>
    <m/>
    <n v="4515"/>
    <m/>
    <m/>
    <n v="5500"/>
    <m/>
    <m/>
    <m/>
    <m/>
    <n v="3247"/>
    <n v="3095"/>
    <n v="2614"/>
    <n v="2276"/>
    <m/>
    <m/>
    <n v="633"/>
    <m/>
    <m/>
    <n v="819"/>
    <m/>
    <m/>
    <m/>
    <m/>
  </r>
  <r>
    <x v="8"/>
    <s v="Mississippi Valley State University"/>
    <n v="176044"/>
    <x v="4"/>
    <n v="75994"/>
    <n v="70414"/>
    <n v="69944"/>
    <n v="60549"/>
    <n v="4695"/>
    <n v="3411"/>
    <m/>
    <m/>
    <n v="503"/>
    <n v="5082"/>
    <m/>
    <n v="355"/>
    <n v="852"/>
    <n v="1017"/>
    <n v="7849"/>
    <n v="6753"/>
    <n v="5779"/>
    <n v="5142"/>
    <n v="1896"/>
    <n v="936"/>
    <m/>
    <m/>
    <n v="153"/>
    <n v="525"/>
    <m/>
    <n v="150"/>
    <n v="21"/>
    <n v="0"/>
  </r>
  <r>
    <x v="8"/>
    <s v="Hinds Community College "/>
    <n v="175786"/>
    <x v="6"/>
    <n v="248623"/>
    <n v="252637"/>
    <n v="223206"/>
    <n v="222871"/>
    <m/>
    <m/>
    <n v="25417"/>
    <m/>
    <m/>
    <n v="29766"/>
    <m/>
    <m/>
    <m/>
    <m/>
    <n v="0"/>
    <n v="0"/>
    <m/>
    <m/>
    <m/>
    <m/>
    <m/>
    <m/>
    <m/>
    <m/>
    <m/>
    <m/>
    <m/>
    <m/>
  </r>
  <r>
    <x v="8"/>
    <s v="Mississippi Gulf Coast Community College "/>
    <n v="176071"/>
    <x v="6"/>
    <n v="208343"/>
    <n v="217817"/>
    <n v="183298"/>
    <n v="186534"/>
    <m/>
    <m/>
    <n v="25045"/>
    <m/>
    <m/>
    <n v="31283"/>
    <m/>
    <m/>
    <m/>
    <m/>
    <n v="0"/>
    <n v="0"/>
    <m/>
    <m/>
    <m/>
    <m/>
    <m/>
    <m/>
    <m/>
    <m/>
    <m/>
    <m/>
    <m/>
    <m/>
  </r>
  <r>
    <x v="8"/>
    <s v="Northwest Mississippi Community College "/>
    <n v="176178"/>
    <x v="6"/>
    <n v="158017"/>
    <n v="169830"/>
    <n v="142320"/>
    <n v="147239"/>
    <m/>
    <m/>
    <n v="15697"/>
    <m/>
    <m/>
    <n v="22591"/>
    <m/>
    <m/>
    <m/>
    <m/>
    <n v="0"/>
    <n v="0"/>
    <m/>
    <m/>
    <m/>
    <m/>
    <m/>
    <m/>
    <m/>
    <m/>
    <m/>
    <m/>
    <m/>
    <m/>
  </r>
  <r>
    <x v="8"/>
    <s v="Copiah-Lincoln Community College "/>
    <n v="175573"/>
    <x v="7"/>
    <n v="85401"/>
    <n v="85905"/>
    <n v="73906"/>
    <n v="75307"/>
    <m/>
    <m/>
    <n v="11495"/>
    <m/>
    <m/>
    <n v="10598"/>
    <m/>
    <m/>
    <m/>
    <m/>
    <n v="0"/>
    <n v="0"/>
    <m/>
    <m/>
    <m/>
    <m/>
    <m/>
    <m/>
    <m/>
    <m/>
    <m/>
    <m/>
    <m/>
    <m/>
  </r>
  <r>
    <x v="8"/>
    <s v="East Central Community College "/>
    <n v="175643"/>
    <x v="7"/>
    <n v="59872"/>
    <n v="62475"/>
    <n v="53776"/>
    <n v="54907"/>
    <m/>
    <m/>
    <n v="6096"/>
    <m/>
    <m/>
    <n v="7568"/>
    <m/>
    <m/>
    <m/>
    <m/>
    <n v="0"/>
    <n v="0"/>
    <m/>
    <m/>
    <m/>
    <m/>
    <m/>
    <m/>
    <m/>
    <m/>
    <m/>
    <m/>
    <m/>
    <m/>
  </r>
  <r>
    <x v="8"/>
    <s v="East Mississippi Community College "/>
    <n v="175652"/>
    <x v="7"/>
    <n v="98866"/>
    <n v="102249"/>
    <n v="73689"/>
    <n v="78003"/>
    <m/>
    <m/>
    <n v="25177"/>
    <m/>
    <m/>
    <n v="24246"/>
    <m/>
    <m/>
    <m/>
    <m/>
    <n v="0"/>
    <n v="0"/>
    <m/>
    <m/>
    <m/>
    <m/>
    <m/>
    <m/>
    <m/>
    <m/>
    <m/>
    <m/>
    <m/>
    <m/>
  </r>
  <r>
    <x v="8"/>
    <s v="Holmes Community College "/>
    <n v="175810"/>
    <x v="7"/>
    <n v="129495"/>
    <n v="125571"/>
    <n v="115466"/>
    <n v="117606"/>
    <m/>
    <m/>
    <n v="14029"/>
    <m/>
    <m/>
    <n v="7965"/>
    <m/>
    <m/>
    <m/>
    <m/>
    <n v="0"/>
    <n v="0"/>
    <m/>
    <m/>
    <m/>
    <m/>
    <m/>
    <m/>
    <m/>
    <m/>
    <m/>
    <m/>
    <m/>
    <m/>
  </r>
  <r>
    <x v="8"/>
    <s v="Itawamba Community College "/>
    <n v="175829"/>
    <x v="7"/>
    <n v="144581"/>
    <n v="171344"/>
    <n v="106003"/>
    <n v="114483"/>
    <m/>
    <m/>
    <n v="38578"/>
    <m/>
    <m/>
    <n v="56861"/>
    <m/>
    <m/>
    <m/>
    <m/>
    <n v="0"/>
    <n v="0"/>
    <m/>
    <m/>
    <m/>
    <m/>
    <m/>
    <m/>
    <m/>
    <m/>
    <m/>
    <m/>
    <m/>
    <m/>
  </r>
  <r>
    <x v="8"/>
    <s v="Jones County Junior College "/>
    <n v="175883"/>
    <x v="7"/>
    <n v="122143"/>
    <n v="125912"/>
    <n v="115732"/>
    <n v="111698"/>
    <m/>
    <m/>
    <n v="6411"/>
    <m/>
    <m/>
    <n v="14214"/>
    <m/>
    <m/>
    <m/>
    <m/>
    <n v="0"/>
    <n v="0"/>
    <m/>
    <m/>
    <m/>
    <m/>
    <m/>
    <m/>
    <m/>
    <m/>
    <m/>
    <m/>
    <m/>
    <m/>
  </r>
  <r>
    <x v="8"/>
    <s v="Meridian Community College "/>
    <n v="175935"/>
    <x v="7"/>
    <n v="86471"/>
    <n v="88855"/>
    <n v="78950"/>
    <n v="78812"/>
    <m/>
    <m/>
    <n v="7521"/>
    <m/>
    <m/>
    <n v="10043"/>
    <m/>
    <m/>
    <m/>
    <m/>
    <n v="0"/>
    <n v="0"/>
    <m/>
    <m/>
    <m/>
    <m/>
    <m/>
    <m/>
    <m/>
    <m/>
    <m/>
    <m/>
    <m/>
    <m/>
  </r>
  <r>
    <x v="8"/>
    <s v="Mississippi Delta Community College "/>
    <n v="176008"/>
    <x v="7"/>
    <n v="72354"/>
    <n v="75373"/>
    <n v="64016"/>
    <n v="65602"/>
    <m/>
    <m/>
    <n v="8338"/>
    <m/>
    <m/>
    <n v="9771"/>
    <m/>
    <m/>
    <m/>
    <m/>
    <n v="0"/>
    <n v="0"/>
    <m/>
    <m/>
    <m/>
    <m/>
    <m/>
    <m/>
    <m/>
    <m/>
    <m/>
    <m/>
    <m/>
    <m/>
  </r>
  <r>
    <x v="8"/>
    <s v="Northeast Mississippi Community College "/>
    <n v="176169"/>
    <x v="7"/>
    <n v="89230"/>
    <n v="84118"/>
    <n v="80812"/>
    <n v="76114"/>
    <m/>
    <m/>
    <n v="8418"/>
    <m/>
    <m/>
    <n v="8004"/>
    <m/>
    <m/>
    <m/>
    <m/>
    <n v="0"/>
    <n v="0"/>
    <m/>
    <m/>
    <m/>
    <m/>
    <m/>
    <m/>
    <m/>
    <m/>
    <m/>
    <m/>
    <m/>
    <m/>
  </r>
  <r>
    <x v="8"/>
    <s v="Pearl River Community College "/>
    <n v="176239"/>
    <x v="7"/>
    <n v="95984"/>
    <n v="102366"/>
    <n v="88238"/>
    <n v="92751"/>
    <m/>
    <m/>
    <n v="7746"/>
    <m/>
    <m/>
    <n v="9615"/>
    <m/>
    <m/>
    <m/>
    <m/>
    <n v="0"/>
    <n v="0"/>
    <m/>
    <m/>
    <m/>
    <m/>
    <m/>
    <m/>
    <m/>
    <m/>
    <m/>
    <m/>
    <m/>
    <m/>
  </r>
  <r>
    <x v="8"/>
    <s v="Coahoma Community College "/>
    <n v="175519"/>
    <x v="8"/>
    <n v="50502"/>
    <n v="44376"/>
    <n v="44108"/>
    <n v="41043"/>
    <m/>
    <m/>
    <n v="6394"/>
    <m/>
    <m/>
    <n v="3333"/>
    <m/>
    <m/>
    <m/>
    <m/>
    <n v="0"/>
    <n v="0"/>
    <m/>
    <m/>
    <m/>
    <m/>
    <m/>
    <m/>
    <m/>
    <m/>
    <m/>
    <m/>
    <m/>
    <m/>
  </r>
  <r>
    <x v="8"/>
    <s v="Southwest Mississippi Community College"/>
    <n v="176354"/>
    <x v="8"/>
    <n v="48204"/>
    <n v="48922"/>
    <n v="41925"/>
    <n v="44458"/>
    <m/>
    <m/>
    <n v="6279"/>
    <m/>
    <m/>
    <n v="4464"/>
    <m/>
    <m/>
    <m/>
    <m/>
    <n v="0"/>
    <n v="0"/>
    <m/>
    <m/>
    <m/>
    <m/>
    <m/>
    <m/>
    <m/>
    <m/>
    <m/>
    <m/>
    <m/>
    <m/>
  </r>
  <r>
    <x v="9"/>
    <s v="North Carolina State University "/>
    <n v="199193"/>
    <x v="0"/>
    <n v="677675"/>
    <n v="696388"/>
    <n v="633697"/>
    <n v="648340"/>
    <n v="14886"/>
    <n v="3618"/>
    <n v="28414"/>
    <m/>
    <n v="678"/>
    <n v="33227"/>
    <n v="0"/>
    <n v="11203"/>
    <m/>
    <m/>
    <n v="109627"/>
    <n v="116247"/>
    <n v="96462"/>
    <n v="100229"/>
    <n v="4764"/>
    <n v="5868"/>
    <n v="8017"/>
    <m/>
    <n v="384"/>
    <n v="10020"/>
    <m/>
    <n v="130"/>
    <m/>
    <m/>
  </r>
  <r>
    <x v="9"/>
    <s v="University of North Carolina at Chapel Hill "/>
    <n v="199120"/>
    <x v="0"/>
    <n v="484313"/>
    <n v="494960"/>
    <n v="475013"/>
    <n v="481040"/>
    <n v="1564"/>
    <n v="869"/>
    <n v="7136"/>
    <n v="600"/>
    <m/>
    <n v="12815"/>
    <n v="236"/>
    <m/>
    <m/>
    <m/>
    <n v="192719"/>
    <n v="187419"/>
    <n v="171019"/>
    <n v="156326"/>
    <n v="13244"/>
    <n v="17365"/>
    <n v="7895"/>
    <n v="561"/>
    <m/>
    <n v="12072"/>
    <n v="1656"/>
    <m/>
    <m/>
    <m/>
  </r>
  <r>
    <x v="9"/>
    <s v="University of North Carolina at Charlotte"/>
    <n v="199139"/>
    <x v="1"/>
    <n v="477547"/>
    <n v="497893"/>
    <n v="469411"/>
    <n v="485499"/>
    <n v="334"/>
    <n v="571"/>
    <n v="7802"/>
    <m/>
    <m/>
    <n v="11763"/>
    <n v="60"/>
    <m/>
    <m/>
    <m/>
    <n v="65835"/>
    <n v="69510"/>
    <n v="55892"/>
    <n v="58695"/>
    <n v="5649"/>
    <n v="5627"/>
    <n v="4240"/>
    <n v="54"/>
    <m/>
    <n v="5155"/>
    <n v="33"/>
    <m/>
    <m/>
    <m/>
  </r>
  <r>
    <x v="9"/>
    <s v="University of North Carolina at Greensboro"/>
    <n v="199148"/>
    <x v="1"/>
    <n v="365663"/>
    <n v="393630"/>
    <n v="338760"/>
    <n v="346735"/>
    <n v="1878"/>
    <n v="13867"/>
    <n v="24971"/>
    <n v="54"/>
    <m/>
    <n v="32920"/>
    <n v="108"/>
    <m/>
    <m/>
    <m/>
    <n v="68281"/>
    <n v="68241"/>
    <n v="55508"/>
    <n v="56405"/>
    <n v="4726"/>
    <n v="5266"/>
    <n v="7615"/>
    <n v="432"/>
    <m/>
    <n v="6399"/>
    <n v="171"/>
    <m/>
    <m/>
    <m/>
  </r>
  <r>
    <x v="9"/>
    <s v="Appalachian State University "/>
    <n v="197869"/>
    <x v="2"/>
    <n v="409754"/>
    <n v="432244"/>
    <n v="401583"/>
    <n v="421112"/>
    <n v="7304"/>
    <n v="9622"/>
    <n v="867"/>
    <m/>
    <m/>
    <n v="1510"/>
    <n v="0"/>
    <m/>
    <m/>
    <m/>
    <n v="33140"/>
    <n v="36265"/>
    <n v="19681"/>
    <n v="21084"/>
    <n v="12655"/>
    <n v="13738"/>
    <n v="804"/>
    <m/>
    <m/>
    <n v="1443"/>
    <m/>
    <m/>
    <m/>
    <m/>
  </r>
  <r>
    <x v="9"/>
    <s v="East Carolina University "/>
    <n v="198464"/>
    <x v="2"/>
    <n v="539396"/>
    <n v="568728"/>
    <n v="475929"/>
    <n v="494643"/>
    <n v="2010"/>
    <n v="11145"/>
    <n v="61457"/>
    <m/>
    <m/>
    <n v="62940"/>
    <n v="0"/>
    <m/>
    <m/>
    <m/>
    <n v="93806"/>
    <n v="97358"/>
    <n v="49547"/>
    <n v="45779"/>
    <n v="3319"/>
    <n v="8493"/>
    <n v="40892"/>
    <m/>
    <n v="48"/>
    <n v="43086"/>
    <m/>
    <m/>
    <m/>
    <m/>
  </r>
  <r>
    <x v="9"/>
    <s v="North Carolina A&amp;T State University"/>
    <n v="199102"/>
    <x v="2"/>
    <n v="278328"/>
    <n v="263262"/>
    <n v="260199"/>
    <n v="246137"/>
    <n v="4466"/>
    <n v="3331"/>
    <n v="13663"/>
    <m/>
    <m/>
    <n v="13794"/>
    <n v="0"/>
    <m/>
    <m/>
    <m/>
    <n v="31947"/>
    <n v="33336"/>
    <n v="23753"/>
    <n v="23243"/>
    <n v="3072"/>
    <n v="4861"/>
    <n v="5122"/>
    <m/>
    <m/>
    <n v="5232"/>
    <m/>
    <m/>
    <m/>
    <m/>
  </r>
  <r>
    <x v="9"/>
    <s v="North Carolina Central University "/>
    <n v="199157"/>
    <x v="2"/>
    <n v="178784"/>
    <n v="176650"/>
    <n v="167103"/>
    <n v="166366"/>
    <n v="3811"/>
    <n v="3339"/>
    <n v="7870"/>
    <m/>
    <m/>
    <n v="6945"/>
    <n v="0"/>
    <m/>
    <m/>
    <m/>
    <n v="39309"/>
    <n v="41387"/>
    <n v="33018"/>
    <n v="33952"/>
    <n v="1801"/>
    <n v="2326"/>
    <n v="4436"/>
    <n v="54"/>
    <m/>
    <n v="5100"/>
    <n v="9"/>
    <m/>
    <m/>
    <m/>
  </r>
  <r>
    <x v="9"/>
    <s v="University of North Carolina at Wilmington"/>
    <n v="199218"/>
    <x v="2"/>
    <n v="318739"/>
    <n v="326611"/>
    <n v="290211"/>
    <n v="292372"/>
    <n v="2581"/>
    <n v="2072"/>
    <n v="25947"/>
    <m/>
    <m/>
    <n v="32167"/>
    <n v="0"/>
    <m/>
    <m/>
    <m/>
    <n v="17680"/>
    <n v="20330"/>
    <n v="14666"/>
    <n v="14914"/>
    <n v="428"/>
    <n v="555"/>
    <n v="2586"/>
    <m/>
    <m/>
    <n v="4861"/>
    <m/>
    <m/>
    <m/>
    <m/>
  </r>
  <r>
    <x v="9"/>
    <s v="Western Carolina University "/>
    <n v="200004"/>
    <x v="2"/>
    <n v="202228"/>
    <n v="199982"/>
    <n v="183501"/>
    <n v="176616"/>
    <n v="7916"/>
    <n v="7671"/>
    <n v="10439"/>
    <n v="372"/>
    <m/>
    <n v="15479"/>
    <n v="216"/>
    <m/>
    <m/>
    <m/>
    <n v="29590"/>
    <n v="31504"/>
    <n v="11232"/>
    <n v="11257"/>
    <n v="8448"/>
    <n v="7481"/>
    <n v="9599"/>
    <n v="311"/>
    <m/>
    <n v="12562"/>
    <n v="204"/>
    <m/>
    <m/>
    <m/>
  </r>
  <r>
    <x v="9"/>
    <s v="Fayetteville State University "/>
    <n v="198543"/>
    <x v="3"/>
    <n v="173557"/>
    <n v="167410"/>
    <n v="143095"/>
    <n v="139007"/>
    <n v="8244"/>
    <n v="11697"/>
    <n v="22218"/>
    <m/>
    <m/>
    <n v="16538"/>
    <n v="168"/>
    <m/>
    <m/>
    <m/>
    <n v="12728"/>
    <n v="11314"/>
    <n v="6996"/>
    <n v="7036"/>
    <n v="1062"/>
    <n v="2151"/>
    <n v="4670"/>
    <m/>
    <m/>
    <n v="2127"/>
    <m/>
    <m/>
    <m/>
    <m/>
  </r>
  <r>
    <x v="9"/>
    <s v="University of North Carolina at Pembroke"/>
    <n v="199281"/>
    <x v="4"/>
    <n v="139000"/>
    <n v="146932"/>
    <n v="118933"/>
    <n v="120014"/>
    <n v="3674"/>
    <n v="3232"/>
    <n v="16322"/>
    <n v="71"/>
    <m/>
    <n v="23527"/>
    <n v="159"/>
    <m/>
    <m/>
    <m/>
    <n v="9022"/>
    <n v="10095"/>
    <n v="4826"/>
    <n v="4857"/>
    <n v="1370"/>
    <n v="1172"/>
    <n v="2826"/>
    <m/>
    <m/>
    <n v="4066"/>
    <m/>
    <m/>
    <m/>
    <m/>
  </r>
  <r>
    <x v="9"/>
    <s v="Winston-Salem State University "/>
    <n v="199999"/>
    <x v="4"/>
    <n v="158654"/>
    <n v="167793"/>
    <n v="141926"/>
    <n v="145488"/>
    <n v="9750"/>
    <n v="10750"/>
    <n v="6978"/>
    <m/>
    <m/>
    <n v="11555"/>
    <n v="0"/>
    <m/>
    <m/>
    <m/>
    <n v="7979"/>
    <n v="9011"/>
    <n v="6867"/>
    <n v="7233"/>
    <n v="850"/>
    <n v="552"/>
    <n v="214"/>
    <n v="48"/>
    <m/>
    <n v="873"/>
    <n v="353"/>
    <m/>
    <m/>
    <m/>
  </r>
  <r>
    <x v="9"/>
    <s v="Elizabeth City State University "/>
    <n v="198507"/>
    <x v="5"/>
    <n v="85447"/>
    <n v="89121"/>
    <n v="79373"/>
    <n v="81574"/>
    <n v="636"/>
    <n v="4347"/>
    <n v="5438"/>
    <m/>
    <m/>
    <n v="3200"/>
    <n v="0"/>
    <m/>
    <m/>
    <m/>
    <n v="1348"/>
    <n v="881"/>
    <n v="1228"/>
    <n v="647"/>
    <m/>
    <n v="0"/>
    <n v="120"/>
    <m/>
    <m/>
    <n v="234"/>
    <m/>
    <m/>
    <m/>
    <m/>
  </r>
  <r>
    <x v="9"/>
    <s v="University of North Carolina at Asheville"/>
    <n v="199111"/>
    <x v="5"/>
    <n v="94931"/>
    <n v="93021"/>
    <n v="93567"/>
    <n v="91545"/>
    <n v="1169"/>
    <n v="1366"/>
    <m/>
    <n v="195"/>
    <m/>
    <n v="0"/>
    <n v="110"/>
    <m/>
    <m/>
    <m/>
    <n v="276"/>
    <n v="290"/>
    <n v="276"/>
    <n v="290"/>
    <m/>
    <n v="0"/>
    <m/>
    <m/>
    <m/>
    <n v="0"/>
    <m/>
    <m/>
    <m/>
    <m/>
  </r>
  <r>
    <x v="9"/>
    <s v="Asheville-Buncombe Technical Community College"/>
    <n v="197887"/>
    <x v="6"/>
    <n v="196744.50000000003"/>
    <n v="207780"/>
    <n v="156092.70000000001"/>
    <n v="151408.20000000001"/>
    <n v="26515.200000000001"/>
    <n v="27456.300000000003"/>
    <n v="11268"/>
    <n v="528.9"/>
    <n v="2339.6999999999998"/>
    <n v="16544.400000000001"/>
    <n v="163.20000000000002"/>
    <n v="12207.9"/>
    <m/>
    <m/>
    <n v="0"/>
    <n v="0"/>
    <m/>
    <m/>
    <m/>
    <m/>
    <m/>
    <m/>
    <m/>
    <m/>
    <m/>
    <m/>
    <m/>
    <m/>
  </r>
  <r>
    <x v="9"/>
    <s v="Cape Fear Community College"/>
    <n v="198154"/>
    <x v="6"/>
    <n v="224492.7"/>
    <n v="245160.00000000003"/>
    <n v="183891"/>
    <n v="191159.1"/>
    <n v="21521.1"/>
    <n v="23803.800000000003"/>
    <n v="15697.2"/>
    <n v="0"/>
    <n v="3383.4"/>
    <n v="20349.599999999999"/>
    <n v="0"/>
    <n v="9847.5"/>
    <m/>
    <m/>
    <n v="0"/>
    <n v="0"/>
    <m/>
    <m/>
    <m/>
    <m/>
    <m/>
    <m/>
    <m/>
    <m/>
    <m/>
    <m/>
    <m/>
    <m/>
  </r>
  <r>
    <x v="9"/>
    <s v="Catawba Valley Community College"/>
    <n v="198233"/>
    <x v="6"/>
    <n v="160696.79999999999"/>
    <n v="160080.00000000003"/>
    <n v="107512.2"/>
    <n v="105951.6"/>
    <n v="18529.8"/>
    <n v="18716.099999999999"/>
    <n v="18144.3"/>
    <n v="1832.7"/>
    <n v="14677.8"/>
    <n v="20279.399999999998"/>
    <n v="2080.2000000000003"/>
    <n v="13052.699999999999"/>
    <m/>
    <m/>
    <n v="0"/>
    <n v="0"/>
    <m/>
    <m/>
    <m/>
    <m/>
    <m/>
    <m/>
    <m/>
    <m/>
    <m/>
    <m/>
    <m/>
    <m/>
  </r>
  <r>
    <x v="9"/>
    <s v="Central Carolina Commuity College"/>
    <n v="198251"/>
    <x v="6"/>
    <n v="167371.19999999998"/>
    <n v="169530"/>
    <n v="88140.3"/>
    <n v="90788.400000000009"/>
    <n v="56265"/>
    <n v="50486.1"/>
    <n v="19758.3"/>
    <n v="0"/>
    <n v="3207.6"/>
    <n v="23311.800000000003"/>
    <n v="0"/>
    <n v="4943.7"/>
    <m/>
    <m/>
    <n v="0"/>
    <n v="0"/>
    <m/>
    <m/>
    <m/>
    <m/>
    <m/>
    <m/>
    <m/>
    <m/>
    <m/>
    <m/>
    <m/>
    <m/>
  </r>
  <r>
    <x v="9"/>
    <s v="Central Piedmont Community College "/>
    <n v="198260"/>
    <x v="6"/>
    <n v="464756.39999999997"/>
    <n v="488160"/>
    <n v="353339.7"/>
    <n v="366082.8"/>
    <n v="29958.6"/>
    <n v="27890.400000000001"/>
    <n v="65610.899999999994"/>
    <n v="0"/>
    <n v="15847.2"/>
    <n v="70773"/>
    <n v="0"/>
    <n v="23413.800000000003"/>
    <m/>
    <m/>
    <n v="0"/>
    <n v="0"/>
    <m/>
    <m/>
    <m/>
    <m/>
    <m/>
    <m/>
    <m/>
    <m/>
    <m/>
    <m/>
    <m/>
    <m/>
  </r>
  <r>
    <x v="9"/>
    <s v="Durham Technical Community College"/>
    <n v="198455"/>
    <x v="6"/>
    <n v="154942.20000000001"/>
    <n v="154560"/>
    <n v="114668.7"/>
    <n v="106779.6"/>
    <n v="23612.400000000001"/>
    <n v="27385.8"/>
    <n v="11020.2"/>
    <n v="0"/>
    <n v="5640.9"/>
    <n v="14270.099999999999"/>
    <n v="0"/>
    <n v="6124.5"/>
    <m/>
    <m/>
    <n v="0"/>
    <n v="0"/>
    <m/>
    <m/>
    <m/>
    <m/>
    <m/>
    <m/>
    <m/>
    <m/>
    <m/>
    <m/>
    <m/>
    <m/>
  </r>
  <r>
    <x v="9"/>
    <s v="Fayetteville Technical Community College"/>
    <n v="198534"/>
    <x v="6"/>
    <n v="340365.30000000005"/>
    <n v="350580"/>
    <n v="226809.60000000001"/>
    <n v="223904.7"/>
    <n v="43653.599999999999"/>
    <n v="46133.7"/>
    <n v="66352.5"/>
    <n v="1193.7"/>
    <n v="2355.9"/>
    <n v="77834.100000000006"/>
    <n v="914.09999999999991"/>
    <n v="1793.4"/>
    <m/>
    <m/>
    <n v="0"/>
    <n v="0"/>
    <m/>
    <m/>
    <m/>
    <m/>
    <m/>
    <m/>
    <m/>
    <m/>
    <m/>
    <m/>
    <m/>
    <m/>
  </r>
  <r>
    <x v="9"/>
    <s v="Forsyth Technical Community College"/>
    <n v="198552"/>
    <x v="6"/>
    <n v="215979"/>
    <n v="239159.99999999994"/>
    <n v="145668.9"/>
    <n v="148452.29999999999"/>
    <n v="29274.3"/>
    <n v="40991.4"/>
    <n v="29686.5"/>
    <n v="698.7"/>
    <n v="10650.6"/>
    <n v="36592.199999999997"/>
    <n v="874.8"/>
    <n v="12249.3"/>
    <m/>
    <m/>
    <n v="0"/>
    <n v="0"/>
    <m/>
    <m/>
    <m/>
    <m/>
    <m/>
    <m/>
    <m/>
    <m/>
    <m/>
    <m/>
    <m/>
    <m/>
  </r>
  <r>
    <x v="9"/>
    <s v="Guilford Technical Community College"/>
    <n v="198622"/>
    <x v="6"/>
    <n v="312129.90000000002"/>
    <n v="337229.99999999994"/>
    <n v="267340.5"/>
    <n v="282759.3"/>
    <n v="20179.2"/>
    <n v="24270.6"/>
    <n v="21227.7"/>
    <n v="0"/>
    <n v="3382.5"/>
    <n v="26346.600000000002"/>
    <n v="0"/>
    <n v="3853.4999999999995"/>
    <m/>
    <m/>
    <n v="0"/>
    <n v="0"/>
    <m/>
    <m/>
    <m/>
    <m/>
    <m/>
    <m/>
    <m/>
    <m/>
    <m/>
    <m/>
    <m/>
    <m/>
  </r>
  <r>
    <x v="9"/>
    <s v="Pitt Community College"/>
    <n v="199333"/>
    <x v="6"/>
    <n v="193347"/>
    <n v="206550"/>
    <n v="129927.9"/>
    <n v="133206.90000000002"/>
    <n v="31638"/>
    <n v="32379.899999999998"/>
    <n v="23623.5"/>
    <n v="0"/>
    <n v="8157.6"/>
    <n v="28432.799999999999"/>
    <n v="0"/>
    <n v="12530.4"/>
    <m/>
    <m/>
    <n v="0"/>
    <n v="0"/>
    <m/>
    <m/>
    <m/>
    <m/>
    <m/>
    <m/>
    <m/>
    <m/>
    <m/>
    <m/>
    <m/>
    <m/>
  </r>
  <r>
    <x v="9"/>
    <s v="Rowan-Cabarrus Community College"/>
    <n v="199494"/>
    <x v="6"/>
    <n v="163654.79999999999"/>
    <n v="174480.00000000003"/>
    <n v="127294.2"/>
    <n v="130466.1"/>
    <n v="22133.4"/>
    <n v="21927.600000000002"/>
    <n v="8706"/>
    <n v="933.9"/>
    <n v="4587.3"/>
    <n v="11906.699999999999"/>
    <n v="748.2"/>
    <n v="9431.4"/>
    <m/>
    <m/>
    <n v="0"/>
    <n v="0"/>
    <m/>
    <m/>
    <m/>
    <m/>
    <m/>
    <m/>
    <m/>
    <m/>
    <m/>
    <m/>
    <m/>
    <m/>
  </r>
  <r>
    <x v="9"/>
    <s v="Wake Technical Community College"/>
    <n v="199856"/>
    <x v="6"/>
    <n v="391011.3"/>
    <n v="429390.00000000006"/>
    <n v="254244.6"/>
    <n v="279222.30000000005"/>
    <n v="85817.1"/>
    <n v="76024.799999999988"/>
    <n v="36606"/>
    <n v="337.5"/>
    <n v="14006.1"/>
    <n v="56104.799999999996"/>
    <n v="86.399999999999991"/>
    <n v="17951.7"/>
    <m/>
    <m/>
    <n v="0"/>
    <n v="0"/>
    <m/>
    <m/>
    <m/>
    <m/>
    <m/>
    <m/>
    <m/>
    <m/>
    <m/>
    <m/>
    <m/>
    <m/>
  </r>
  <r>
    <x v="9"/>
    <s v="Alamance Community College"/>
    <n v="199786"/>
    <x v="7"/>
    <n v="125695.8"/>
    <n v="134250"/>
    <n v="97229.1"/>
    <n v="105939.9"/>
    <n v="16972.5"/>
    <n v="13856.699999999999"/>
    <n v="8845.7999999999993"/>
    <n v="0"/>
    <n v="2648.4"/>
    <n v="10999.8"/>
    <n v="0"/>
    <n v="3453.6000000000004"/>
    <m/>
    <m/>
    <n v="0"/>
    <n v="0"/>
    <m/>
    <m/>
    <m/>
    <m/>
    <m/>
    <m/>
    <m/>
    <m/>
    <m/>
    <m/>
    <m/>
    <m/>
  </r>
  <r>
    <x v="9"/>
    <s v="Blue Ridge Community College"/>
    <n v="198039"/>
    <x v="7"/>
    <n v="68154.299999999988"/>
    <n v="69180"/>
    <n v="45249.599999999999"/>
    <n v="44614.799999999996"/>
    <n v="11930.4"/>
    <n v="11631.900000000001"/>
    <n v="5938.2"/>
    <n v="598.20000000000005"/>
    <n v="4437.8999999999996"/>
    <n v="6252.9000000000005"/>
    <n v="1070.6999999999998"/>
    <n v="5609.7000000000007"/>
    <m/>
    <m/>
    <n v="0"/>
    <n v="0"/>
    <m/>
    <m/>
    <m/>
    <m/>
    <m/>
    <m/>
    <m/>
    <m/>
    <m/>
    <m/>
    <m/>
    <m/>
  </r>
  <r>
    <x v="9"/>
    <s v="Caldwell Community College &amp; Technical Institute"/>
    <n v="198118"/>
    <x v="7"/>
    <n v="131234.70000000001"/>
    <n v="133349.99999999997"/>
    <n v="83610.3"/>
    <n v="84826.799999999988"/>
    <n v="28646.7"/>
    <n v="23864.7"/>
    <n v="6978.6"/>
    <n v="1007.7"/>
    <n v="10991.4"/>
    <n v="9598.7999999999993"/>
    <n v="918.9"/>
    <n v="14140.800000000001"/>
    <m/>
    <m/>
    <n v="0"/>
    <n v="0"/>
    <m/>
    <m/>
    <m/>
    <m/>
    <m/>
    <m/>
    <m/>
    <m/>
    <m/>
    <m/>
    <m/>
    <m/>
  </r>
  <r>
    <x v="9"/>
    <s v="Cleveland Community College"/>
    <n v="198321"/>
    <x v="7"/>
    <n v="95832.9"/>
    <n v="98789.999999999985"/>
    <n v="57460.800000000003"/>
    <n v="57090"/>
    <n v="15189.9"/>
    <n v="16536.900000000001"/>
    <n v="13498.2"/>
    <n v="0"/>
    <n v="9684"/>
    <n v="14378.7"/>
    <n v="123.89999999999999"/>
    <n v="10660.5"/>
    <m/>
    <m/>
    <n v="0"/>
    <n v="0"/>
    <m/>
    <m/>
    <m/>
    <m/>
    <m/>
    <m/>
    <m/>
    <m/>
    <m/>
    <m/>
    <m/>
    <m/>
  </r>
  <r>
    <x v="9"/>
    <s v="Coastal Carolina Community College "/>
    <n v="198330"/>
    <x v="7"/>
    <n v="147488.4"/>
    <n v="152520"/>
    <n v="104880.3"/>
    <n v="105567"/>
    <n v="25373.1"/>
    <n v="26781"/>
    <n v="16888.2"/>
    <n v="0"/>
    <n v="346.8"/>
    <n v="19637.100000000002"/>
    <n v="0"/>
    <n v="534.9"/>
    <m/>
    <m/>
    <n v="0"/>
    <n v="0"/>
    <m/>
    <m/>
    <m/>
    <m/>
    <m/>
    <m/>
    <m/>
    <m/>
    <m/>
    <m/>
    <m/>
    <m/>
  </r>
  <r>
    <x v="9"/>
    <s v="College of the Albemarle"/>
    <n v="197814"/>
    <x v="7"/>
    <n v="73044.900000000009"/>
    <n v="75690.000000000015"/>
    <n v="43325.4"/>
    <n v="44077.5"/>
    <n v="10435.5"/>
    <n v="9507"/>
    <n v="10880.1"/>
    <n v="959.1"/>
    <n v="7444.8"/>
    <n v="12716.1"/>
    <n v="614.09999999999991"/>
    <n v="8775.2999999999993"/>
    <m/>
    <m/>
    <n v="0"/>
    <n v="0"/>
    <m/>
    <m/>
    <m/>
    <m/>
    <m/>
    <m/>
    <m/>
    <m/>
    <m/>
    <m/>
    <m/>
    <m/>
  </r>
  <r>
    <x v="9"/>
    <s v="Craven Community College "/>
    <n v="198367"/>
    <x v="7"/>
    <n v="92544"/>
    <n v="91920"/>
    <n v="51183.3"/>
    <n v="48567.3"/>
    <n v="12852"/>
    <n v="7507.5"/>
    <n v="17375.7"/>
    <n v="0"/>
    <n v="11133"/>
    <n v="21320.399999999998"/>
    <n v="0"/>
    <n v="14524.8"/>
    <m/>
    <m/>
    <n v="0"/>
    <n v="0"/>
    <m/>
    <m/>
    <m/>
    <m/>
    <m/>
    <m/>
    <m/>
    <m/>
    <m/>
    <m/>
    <m/>
    <m/>
  </r>
  <r>
    <x v="9"/>
    <s v="Davidson County Community College "/>
    <n v="198376"/>
    <x v="7"/>
    <n v="113710.2"/>
    <n v="125099.99999999999"/>
    <n v="79993.8"/>
    <n v="77075.7"/>
    <n v="8422.7999999999993"/>
    <n v="9391.7999999999993"/>
    <n v="12968.4"/>
    <n v="2313.3000000000002"/>
    <n v="10011.9"/>
    <n v="18342.900000000001"/>
    <n v="1793.4"/>
    <n v="18496.199999999997"/>
    <m/>
    <m/>
    <n v="0"/>
    <n v="0"/>
    <m/>
    <m/>
    <m/>
    <m/>
    <m/>
    <m/>
    <m/>
    <m/>
    <m/>
    <m/>
    <m/>
    <m/>
  </r>
  <r>
    <x v="9"/>
    <s v="Edgecombe Community College"/>
    <n v="198491"/>
    <x v="7"/>
    <n v="72549.600000000006"/>
    <n v="75840.000000000015"/>
    <n v="45240.3"/>
    <n v="44573.100000000006"/>
    <n v="16422.599999999999"/>
    <n v="16963.5"/>
    <n v="6836.7"/>
    <n v="253.2"/>
    <n v="3796.8"/>
    <n v="10730.1"/>
    <n v="42.3"/>
    <n v="3531"/>
    <m/>
    <m/>
    <n v="0"/>
    <n v="0"/>
    <m/>
    <m/>
    <m/>
    <m/>
    <m/>
    <m/>
    <m/>
    <m/>
    <m/>
    <m/>
    <m/>
    <m/>
  </r>
  <r>
    <x v="9"/>
    <s v="Gaston College "/>
    <n v="198570"/>
    <x v="7"/>
    <n v="149676.00000000003"/>
    <n v="157349.99999999997"/>
    <n v="114182.1"/>
    <n v="108637.2"/>
    <n v="13689.3"/>
    <n v="18070.499999999996"/>
    <n v="14699.7"/>
    <n v="508.2"/>
    <n v="6596.7"/>
    <n v="21839.100000000002"/>
    <n v="345.9"/>
    <n v="8457.2999999999993"/>
    <m/>
    <m/>
    <n v="0"/>
    <n v="0"/>
    <m/>
    <m/>
    <m/>
    <m/>
    <m/>
    <m/>
    <m/>
    <m/>
    <m/>
    <m/>
    <m/>
    <m/>
  </r>
  <r>
    <x v="9"/>
    <s v="Haywood Community College"/>
    <n v="198668"/>
    <x v="7"/>
    <n v="62017.499999999993"/>
    <n v="61020"/>
    <n v="38520.6"/>
    <n v="38961"/>
    <n v="11242.8"/>
    <n v="8395.5"/>
    <n v="10235.700000000001"/>
    <n v="0"/>
    <n v="2018.4"/>
    <n v="11055.900000000001"/>
    <n v="0"/>
    <n v="2607.6"/>
    <m/>
    <m/>
    <n v="0"/>
    <n v="0"/>
    <m/>
    <m/>
    <m/>
    <m/>
    <m/>
    <m/>
    <m/>
    <m/>
    <m/>
    <m/>
    <m/>
    <m/>
  </r>
  <r>
    <x v="9"/>
    <s v="Isothermal Community College "/>
    <n v="198710"/>
    <x v="7"/>
    <n v="71612.7"/>
    <n v="72240"/>
    <n v="57577.2"/>
    <n v="55169.7"/>
    <n v="8743.2000000000007"/>
    <n v="8892"/>
    <n v="3464.1"/>
    <n v="0"/>
    <n v="1828.2"/>
    <n v="5552.7"/>
    <n v="0"/>
    <n v="2625.6"/>
    <m/>
    <m/>
    <n v="0"/>
    <n v="0"/>
    <m/>
    <m/>
    <m/>
    <m/>
    <m/>
    <m/>
    <m/>
    <m/>
    <m/>
    <m/>
    <m/>
    <m/>
  </r>
  <r>
    <x v="9"/>
    <s v="Johnston Community College"/>
    <n v="198774"/>
    <x v="7"/>
    <n v="128582.39999999999"/>
    <n v="135630"/>
    <n v="69979.199999999997"/>
    <n v="70929"/>
    <n v="37696.800000000003"/>
    <n v="37834.5"/>
    <n v="15983.7"/>
    <n v="0"/>
    <n v="4922.7"/>
    <n v="19090.500000000004"/>
    <n v="0"/>
    <n v="7776"/>
    <m/>
    <m/>
    <n v="0"/>
    <n v="0"/>
    <m/>
    <m/>
    <m/>
    <m/>
    <m/>
    <m/>
    <m/>
    <m/>
    <m/>
    <m/>
    <m/>
    <m/>
  </r>
  <r>
    <x v="9"/>
    <s v="Lenoir Community College "/>
    <n v="198817"/>
    <x v="7"/>
    <n v="107276.10000000002"/>
    <n v="115920"/>
    <n v="69676.800000000003"/>
    <n v="69611.100000000006"/>
    <n v="20091.900000000001"/>
    <n v="18880.499999999996"/>
    <n v="16228.8"/>
    <n v="0"/>
    <n v="1278.5999999999999"/>
    <n v="22209.9"/>
    <n v="0"/>
    <n v="5218.5"/>
    <m/>
    <m/>
    <n v="0"/>
    <n v="0"/>
    <m/>
    <m/>
    <m/>
    <m/>
    <m/>
    <m/>
    <m/>
    <m/>
    <m/>
    <m/>
    <m/>
    <m/>
  </r>
  <r>
    <x v="9"/>
    <s v="Mayland Community College"/>
    <n v="198914"/>
    <x v="7"/>
    <n v="60048.9"/>
    <n v="61260"/>
    <n v="26660.7"/>
    <n v="25969.199999999997"/>
    <n v="30783.3"/>
    <n v="31752.000000000004"/>
    <n v="1638.9"/>
    <n v="517.5"/>
    <n v="448.5"/>
    <n v="2578.7999999999997"/>
    <n v="281.40000000000003"/>
    <n v="678.6"/>
    <m/>
    <m/>
    <n v="0"/>
    <n v="0"/>
    <m/>
    <m/>
    <m/>
    <m/>
    <m/>
    <m/>
    <m/>
    <m/>
    <m/>
    <m/>
    <m/>
    <m/>
  </r>
  <r>
    <x v="9"/>
    <s v="Mitchell Community College "/>
    <n v="198987"/>
    <x v="7"/>
    <n v="73401.299999999988"/>
    <n v="83040"/>
    <n v="57054.3"/>
    <n v="64608.6"/>
    <n v="9065.7000000000007"/>
    <n v="8151.6"/>
    <n v="4230.8999999999996"/>
    <n v="0"/>
    <n v="3050.4"/>
    <n v="6463.8"/>
    <n v="0.89999999999999991"/>
    <n v="3815.1"/>
    <m/>
    <m/>
    <n v="0"/>
    <n v="0"/>
    <m/>
    <m/>
    <m/>
    <m/>
    <m/>
    <m/>
    <m/>
    <m/>
    <m/>
    <m/>
    <m/>
    <m/>
  </r>
  <r>
    <x v="9"/>
    <s v="Nash Community College"/>
    <n v="199087"/>
    <x v="7"/>
    <n v="81689.099999999991"/>
    <n v="83100"/>
    <n v="61581.599999999999"/>
    <n v="63113.4"/>
    <n v="13409.1"/>
    <n v="11111.1"/>
    <n v="6476.4"/>
    <n v="0"/>
    <n v="222"/>
    <n v="7712.6999999999989"/>
    <n v="0"/>
    <n v="1162.8"/>
    <m/>
    <m/>
    <n v="0"/>
    <n v="0"/>
    <m/>
    <m/>
    <m/>
    <m/>
    <m/>
    <m/>
    <m/>
    <m/>
    <m/>
    <m/>
    <m/>
    <m/>
  </r>
  <r>
    <x v="9"/>
    <s v="Piedmont Community College"/>
    <n v="199324"/>
    <x v="7"/>
    <n v="87588.89999999998"/>
    <n v="86640"/>
    <n v="48439.199999999997"/>
    <n v="48486.9"/>
    <n v="22695.599999999999"/>
    <n v="21086.400000000001"/>
    <n v="11805.3"/>
    <n v="1698.9"/>
    <n v="2949.9"/>
    <n v="11267.4"/>
    <n v="1412.7"/>
    <n v="4386.6000000000004"/>
    <m/>
    <m/>
    <n v="0"/>
    <n v="0"/>
    <m/>
    <m/>
    <m/>
    <m/>
    <m/>
    <m/>
    <m/>
    <m/>
    <m/>
    <m/>
    <m/>
    <m/>
  </r>
  <r>
    <x v="9"/>
    <s v="Randolph Community College"/>
    <n v="199421"/>
    <x v="7"/>
    <n v="82649.999999999985"/>
    <n v="83879.999999999985"/>
    <n v="59192.4"/>
    <n v="59469.899999999994"/>
    <n v="10510.8"/>
    <n v="9614.1"/>
    <n v="11048.4"/>
    <n v="0"/>
    <n v="1898.4"/>
    <n v="12746.4"/>
    <n v="120.9"/>
    <n v="1928.6999999999998"/>
    <m/>
    <m/>
    <n v="0"/>
    <n v="0"/>
    <m/>
    <m/>
    <m/>
    <m/>
    <m/>
    <m/>
    <m/>
    <m/>
    <m/>
    <m/>
    <m/>
    <m/>
  </r>
  <r>
    <x v="9"/>
    <s v="Richmond Community College"/>
    <n v="199449"/>
    <x v="7"/>
    <n v="67074"/>
    <n v="67950"/>
    <n v="44651.4"/>
    <n v="43797"/>
    <n v="15651.3"/>
    <n v="16863.599999999999"/>
    <n v="4152.8999999999996"/>
    <n v="0"/>
    <n v="2618.4"/>
    <n v="5236.2"/>
    <n v="0"/>
    <n v="2053.1999999999998"/>
    <m/>
    <m/>
    <n v="0"/>
    <n v="0"/>
    <m/>
    <m/>
    <m/>
    <m/>
    <m/>
    <m/>
    <m/>
    <m/>
    <m/>
    <m/>
    <m/>
    <m/>
  </r>
  <r>
    <x v="9"/>
    <s v="Robeson Community College"/>
    <n v="199476"/>
    <x v="7"/>
    <n v="119113.20000000001"/>
    <n v="116520.00000000001"/>
    <n v="81408.600000000006"/>
    <n v="76031.100000000006"/>
    <n v="30096.9"/>
    <n v="30546.600000000002"/>
    <n v="7008.6"/>
    <n v="106.8"/>
    <n v="492.3"/>
    <n v="9353.0999999999985"/>
    <n v="47.7"/>
    <n v="541.5"/>
    <m/>
    <m/>
    <n v="0"/>
    <n v="0"/>
    <m/>
    <m/>
    <m/>
    <m/>
    <m/>
    <m/>
    <m/>
    <m/>
    <m/>
    <m/>
    <m/>
    <m/>
  </r>
  <r>
    <x v="9"/>
    <s v="Rockingham Community College "/>
    <n v="199485"/>
    <x v="7"/>
    <n v="67546.2"/>
    <n v="67170"/>
    <n v="52315.5"/>
    <n v="51956.7"/>
    <n v="8196"/>
    <n v="7506"/>
    <n v="4551.3"/>
    <n v="0"/>
    <n v="2483.4"/>
    <n v="4432.7999999999993"/>
    <n v="36.6"/>
    <n v="3237.9"/>
    <m/>
    <m/>
    <n v="0"/>
    <n v="0"/>
    <m/>
    <m/>
    <m/>
    <m/>
    <m/>
    <m/>
    <m/>
    <m/>
    <m/>
    <m/>
    <m/>
    <m/>
  </r>
  <r>
    <x v="9"/>
    <s v="Sandhills Community College "/>
    <n v="199634"/>
    <x v="7"/>
    <n v="122410.20000000001"/>
    <n v="125040"/>
    <n v="86939.7"/>
    <n v="86152.2"/>
    <n v="17940.900000000001"/>
    <n v="17406.300000000003"/>
    <n v="12205.5"/>
    <n v="0"/>
    <n v="5324.1"/>
    <n v="14731.5"/>
    <n v="0"/>
    <n v="6750"/>
    <m/>
    <m/>
    <n v="0"/>
    <n v="0"/>
    <m/>
    <m/>
    <m/>
    <m/>
    <m/>
    <m/>
    <m/>
    <m/>
    <m/>
    <m/>
    <m/>
    <m/>
  </r>
  <r>
    <x v="9"/>
    <s v="South Piedmont Community College"/>
    <n v="197850"/>
    <x v="7"/>
    <n v="68742.600000000006"/>
    <n v="76950"/>
    <n v="40898.1"/>
    <n v="41981.700000000004"/>
    <n v="16467.900000000001"/>
    <n v="18364.2"/>
    <n v="10779.3"/>
    <n v="547.5"/>
    <n v="49.8"/>
    <n v="13867.199999999999"/>
    <n v="692.7"/>
    <n v="2044.2"/>
    <m/>
    <m/>
    <n v="0"/>
    <n v="0"/>
    <m/>
    <m/>
    <m/>
    <m/>
    <m/>
    <m/>
    <m/>
    <m/>
    <m/>
    <m/>
    <m/>
    <m/>
  </r>
  <r>
    <x v="9"/>
    <s v="Southeastern Community College "/>
    <n v="199722"/>
    <x v="7"/>
    <n v="78693.600000000006"/>
    <n v="80280"/>
    <n v="50832"/>
    <n v="51290.1"/>
    <n v="19663.5"/>
    <n v="16623"/>
    <n v="5466.3"/>
    <n v="1244.0999999999999"/>
    <n v="1487.7"/>
    <n v="12196.2"/>
    <n v="75"/>
    <n v="95.7"/>
    <m/>
    <m/>
    <n v="0"/>
    <n v="0"/>
    <m/>
    <m/>
    <m/>
    <m/>
    <m/>
    <m/>
    <m/>
    <m/>
    <m/>
    <m/>
    <m/>
    <m/>
  </r>
  <r>
    <x v="9"/>
    <s v="Southwestern Community College "/>
    <n v="199731"/>
    <x v="7"/>
    <n v="72241.5"/>
    <n v="77610"/>
    <n v="38808"/>
    <n v="41259.599999999999"/>
    <n v="21480"/>
    <n v="19840.5"/>
    <n v="7427.4"/>
    <n v="2137.5"/>
    <n v="2388.6"/>
    <n v="9560.1"/>
    <n v="2070"/>
    <n v="4879.8"/>
    <m/>
    <m/>
    <n v="0"/>
    <n v="0"/>
    <m/>
    <m/>
    <m/>
    <m/>
    <m/>
    <m/>
    <m/>
    <m/>
    <m/>
    <m/>
    <m/>
    <m/>
  </r>
  <r>
    <x v="9"/>
    <s v="Stanly Community College"/>
    <n v="199740"/>
    <x v="7"/>
    <n v="79719.3"/>
    <n v="84329.999999999985"/>
    <n v="41919.9"/>
    <n v="34632.600000000006"/>
    <n v="12373.2"/>
    <n v="12827.699999999999"/>
    <n v="17413.5"/>
    <n v="2546.6999999999998"/>
    <n v="5466"/>
    <n v="24630.6"/>
    <n v="4391.3999999999996"/>
    <n v="7847.6999999999989"/>
    <m/>
    <m/>
    <n v="0"/>
    <n v="0"/>
    <m/>
    <m/>
    <m/>
    <m/>
    <m/>
    <m/>
    <m/>
    <m/>
    <m/>
    <m/>
    <m/>
    <m/>
  </r>
  <r>
    <x v="9"/>
    <s v="Surry Community College "/>
    <n v="199768"/>
    <x v="7"/>
    <n v="101884.20000000001"/>
    <n v="111750.00000000001"/>
    <n v="79381.8"/>
    <n v="84185.700000000012"/>
    <n v="11326.8"/>
    <n v="10252.799999999999"/>
    <n v="9201.6"/>
    <n v="710.7"/>
    <n v="1263.3"/>
    <n v="13817.999999999998"/>
    <n v="902.7"/>
    <n v="2590.8000000000002"/>
    <m/>
    <m/>
    <n v="0"/>
    <n v="0"/>
    <m/>
    <m/>
    <m/>
    <m/>
    <m/>
    <m/>
    <m/>
    <m/>
    <m/>
    <m/>
    <m/>
    <m/>
  </r>
  <r>
    <x v="9"/>
    <s v="Vance-Granville Community College "/>
    <n v="199838"/>
    <x v="7"/>
    <n v="138787.80000000002"/>
    <n v="142620"/>
    <n v="88932.3"/>
    <n v="88399.8"/>
    <n v="33076.199999999997"/>
    <n v="29888.1"/>
    <n v="13517.7"/>
    <n v="1171.2"/>
    <n v="2090.4"/>
    <n v="19469.099999999999"/>
    <n v="965.69999999999993"/>
    <n v="3897.2999999999997"/>
    <m/>
    <m/>
    <n v="0"/>
    <n v="0"/>
    <m/>
    <m/>
    <m/>
    <m/>
    <m/>
    <m/>
    <m/>
    <m/>
    <m/>
    <m/>
    <m/>
    <m/>
  </r>
  <r>
    <x v="9"/>
    <s v="Wayne Community College"/>
    <n v="199892"/>
    <x v="7"/>
    <n v="113109.9"/>
    <n v="118650"/>
    <n v="73732.2"/>
    <n v="68060.399999999994"/>
    <n v="23608.799999999999"/>
    <n v="23259.600000000002"/>
    <n v="11180.4"/>
    <n v="0"/>
    <n v="4588.5"/>
    <n v="17809.2"/>
    <n v="0"/>
    <n v="9520.8000000000011"/>
    <m/>
    <m/>
    <n v="0"/>
    <n v="0"/>
    <m/>
    <m/>
    <m/>
    <m/>
    <m/>
    <m/>
    <m/>
    <m/>
    <m/>
    <m/>
    <m/>
    <m/>
  </r>
  <r>
    <x v="9"/>
    <s v="Western Piedmont Community College "/>
    <n v="199908"/>
    <x v="7"/>
    <n v="100945.8"/>
    <n v="105330"/>
    <n v="67119.600000000006"/>
    <n v="65201.1"/>
    <n v="17107.5"/>
    <n v="19563.900000000001"/>
    <n v="11340.3"/>
    <n v="0"/>
    <n v="5378.4"/>
    <n v="13385.399999999998"/>
    <n v="0"/>
    <n v="7179.5999999999995"/>
    <m/>
    <m/>
    <n v="0"/>
    <n v="0"/>
    <m/>
    <m/>
    <m/>
    <m/>
    <m/>
    <m/>
    <m/>
    <m/>
    <m/>
    <m/>
    <m/>
    <m/>
  </r>
  <r>
    <x v="9"/>
    <s v="Wilkes Community College "/>
    <n v="199926"/>
    <x v="7"/>
    <n v="89556.300000000017"/>
    <n v="90810"/>
    <n v="61203"/>
    <n v="60247.5"/>
    <n v="18080.099999999999"/>
    <n v="17682.899999999998"/>
    <n v="5495.1"/>
    <n v="3102"/>
    <n v="1676.1"/>
    <n v="6798.6"/>
    <n v="3313.2"/>
    <n v="2767.7999999999997"/>
    <m/>
    <m/>
    <n v="0"/>
    <n v="0"/>
    <m/>
    <m/>
    <m/>
    <m/>
    <m/>
    <m/>
    <m/>
    <m/>
    <m/>
    <m/>
    <m/>
    <m/>
  </r>
  <r>
    <x v="9"/>
    <s v="Wilson Technical Community College"/>
    <n v="199953"/>
    <x v="7"/>
    <n v="72735.600000000006"/>
    <n v="72210"/>
    <n v="47212.9"/>
    <n v="44114.7"/>
    <n v="10203.299999999999"/>
    <n v="10919.7"/>
    <n v="7886.4"/>
    <n v="0"/>
    <n v="7433"/>
    <n v="9634.8000000000011"/>
    <n v="0"/>
    <n v="7540.7999999999993"/>
    <m/>
    <m/>
    <n v="0"/>
    <n v="0"/>
    <m/>
    <m/>
    <m/>
    <m/>
    <m/>
    <m/>
    <m/>
    <m/>
    <m/>
    <m/>
    <m/>
    <m/>
  </r>
  <r>
    <x v="9"/>
    <s v="Beaufort County Community College "/>
    <n v="197966"/>
    <x v="8"/>
    <n v="56272.200000000004"/>
    <n v="58379.999999999993"/>
    <n v="33920.1"/>
    <n v="35550"/>
    <n v="13483.2"/>
    <n v="11321.699999999999"/>
    <n v="4203"/>
    <n v="0"/>
    <n v="4665.8999999999996"/>
    <n v="5519.1"/>
    <n v="0"/>
    <n v="5989.2"/>
    <m/>
    <m/>
    <n v="0"/>
    <n v="0"/>
    <m/>
    <m/>
    <m/>
    <m/>
    <m/>
    <m/>
    <m/>
    <m/>
    <m/>
    <m/>
    <m/>
    <m/>
  </r>
  <r>
    <x v="9"/>
    <s v="Bladen Community College"/>
    <n v="198011"/>
    <x v="8"/>
    <n v="44015.700000000012"/>
    <n v="46830.000000000007"/>
    <n v="25665.9"/>
    <n v="27269.4"/>
    <n v="6267.9"/>
    <n v="4753.8"/>
    <n v="5176.8"/>
    <n v="597.29999999999995"/>
    <n v="6307.8"/>
    <n v="8501.4000000000015"/>
    <n v="1155.9000000000001"/>
    <n v="5149.5"/>
    <m/>
    <m/>
    <n v="0"/>
    <n v="0"/>
    <m/>
    <m/>
    <m/>
    <m/>
    <m/>
    <m/>
    <m/>
    <m/>
    <m/>
    <m/>
    <m/>
    <m/>
  </r>
  <r>
    <x v="9"/>
    <s v="Brunswick Community College"/>
    <n v="198084"/>
    <x v="8"/>
    <n v="47797.5"/>
    <n v="49949.999999999993"/>
    <n v="33648.9"/>
    <n v="35153.699999999997"/>
    <n v="4956.6000000000004"/>
    <n v="6559.2"/>
    <n v="3069.9"/>
    <n v="231.6"/>
    <n v="5890.5"/>
    <n v="3974.3999999999996"/>
    <n v="444.6"/>
    <n v="3818.1"/>
    <m/>
    <m/>
    <n v="0"/>
    <n v="0"/>
    <m/>
    <m/>
    <m/>
    <m/>
    <m/>
    <m/>
    <m/>
    <m/>
    <m/>
    <m/>
    <m/>
    <m/>
  </r>
  <r>
    <x v="9"/>
    <s v="Carteret Community College"/>
    <n v="198206"/>
    <x v="8"/>
    <n v="58101.599999999991"/>
    <n v="59820"/>
    <n v="37712.1"/>
    <n v="38489.100000000006"/>
    <n v="8956.7999999999993"/>
    <n v="9530.7000000000007"/>
    <n v="8039.7"/>
    <n v="0"/>
    <n v="3393"/>
    <n v="8880.5999999999985"/>
    <n v="0"/>
    <n v="2919.6"/>
    <m/>
    <m/>
    <n v="0"/>
    <n v="0"/>
    <m/>
    <m/>
    <m/>
    <m/>
    <m/>
    <m/>
    <m/>
    <m/>
    <m/>
    <m/>
    <m/>
    <m/>
  </r>
  <r>
    <x v="9"/>
    <s v="Halifax Community College "/>
    <n v="198640"/>
    <x v="8"/>
    <n v="49272.600000000013"/>
    <n v="50669.999999999993"/>
    <n v="28733.4"/>
    <n v="28440"/>
    <n v="11291.7"/>
    <n v="11560.5"/>
    <n v="5759.4"/>
    <n v="85.8"/>
    <n v="3402.3"/>
    <n v="5321.7000000000007"/>
    <n v="275.7"/>
    <n v="5072.0999999999995"/>
    <m/>
    <m/>
    <n v="0"/>
    <n v="0"/>
    <m/>
    <m/>
    <m/>
    <m/>
    <m/>
    <m/>
    <m/>
    <m/>
    <m/>
    <m/>
    <m/>
    <m/>
  </r>
  <r>
    <x v="9"/>
    <s v="James Sprunt Community College"/>
    <n v="198729"/>
    <x v="8"/>
    <n v="43484.100000000006"/>
    <n v="44010.000000000007"/>
    <n v="31285.8"/>
    <n v="31508.1"/>
    <n v="9052.5"/>
    <n v="8679.9000000000015"/>
    <n v="1429.2"/>
    <n v="357.3"/>
    <n v="1359.3"/>
    <n v="1981.8000000000002"/>
    <n v="354.3"/>
    <n v="1485.9"/>
    <m/>
    <m/>
    <n v="0"/>
    <n v="0"/>
    <m/>
    <m/>
    <m/>
    <m/>
    <m/>
    <m/>
    <m/>
    <m/>
    <m/>
    <m/>
    <m/>
    <m/>
  </r>
  <r>
    <x v="9"/>
    <s v="Martin Community College "/>
    <n v="198905"/>
    <x v="8"/>
    <n v="30196.2"/>
    <n v="27180"/>
    <n v="14376.9"/>
    <n v="17253.3"/>
    <n v="8318.4"/>
    <n v="6711.9000000000005"/>
    <n v="3499.8"/>
    <n v="92.7"/>
    <n v="3908.4"/>
    <n v="1623.3"/>
    <n v="95.1"/>
    <n v="1496.4"/>
    <m/>
    <m/>
    <n v="0"/>
    <n v="0"/>
    <m/>
    <m/>
    <m/>
    <m/>
    <m/>
    <m/>
    <m/>
    <m/>
    <m/>
    <m/>
    <m/>
    <m/>
  </r>
  <r>
    <x v="9"/>
    <s v="McDowell Technical Community College"/>
    <n v="198923"/>
    <x v="8"/>
    <n v="42169.2"/>
    <n v="45840"/>
    <n v="29564.7"/>
    <n v="31977.3"/>
    <n v="9147.9"/>
    <n v="9681.6"/>
    <n v="1142.0999999999999"/>
    <n v="101.4"/>
    <n v="2213.1"/>
    <n v="1885.2"/>
    <n v="113.39999999999999"/>
    <n v="2182.5"/>
    <m/>
    <m/>
    <n v="0"/>
    <n v="0"/>
    <m/>
    <m/>
    <m/>
    <m/>
    <m/>
    <m/>
    <m/>
    <m/>
    <m/>
    <m/>
    <m/>
    <m/>
  </r>
  <r>
    <x v="9"/>
    <s v="Montgomery Community College"/>
    <n v="199023"/>
    <x v="8"/>
    <n v="34034.400000000001"/>
    <n v="33570"/>
    <n v="23069.1"/>
    <n v="21400.2"/>
    <n v="6082.2"/>
    <n v="6296.9999999999991"/>
    <n v="2909.4"/>
    <n v="381"/>
    <n v="1592.7"/>
    <n v="3159.6"/>
    <n v="570"/>
    <n v="2143.1999999999998"/>
    <m/>
    <m/>
    <n v="0"/>
    <n v="0"/>
    <m/>
    <m/>
    <m/>
    <m/>
    <m/>
    <m/>
    <m/>
    <m/>
    <m/>
    <m/>
    <m/>
    <m/>
  </r>
  <r>
    <x v="9"/>
    <s v="Pamlico Community College"/>
    <n v="199263"/>
    <x v="8"/>
    <n v="17378.100000000002"/>
    <n v="17940"/>
    <n v="6457.5"/>
    <n v="6735.3000000000011"/>
    <n v="9062.4"/>
    <n v="9111"/>
    <n v="1306.5"/>
    <n v="48.9"/>
    <n v="502.8"/>
    <n v="2038.7999999999997"/>
    <n v="39.300000000000004"/>
    <n v="15.600000000000001"/>
    <m/>
    <m/>
    <n v="0"/>
    <n v="0"/>
    <m/>
    <m/>
    <m/>
    <m/>
    <m/>
    <m/>
    <m/>
    <m/>
    <m/>
    <m/>
    <m/>
    <m/>
  </r>
  <r>
    <x v="9"/>
    <s v="Roanoke-Chowan Community College"/>
    <n v="199467"/>
    <x v="8"/>
    <n v="28619.4"/>
    <n v="29040.000000000004"/>
    <n v="18021.900000000001"/>
    <n v="15051.6"/>
    <n v="6087.6"/>
    <n v="8581.2000000000007"/>
    <n v="2978.4"/>
    <n v="0"/>
    <n v="1531.5"/>
    <n v="3444.3"/>
    <n v="0"/>
    <n v="1962.9"/>
    <m/>
    <m/>
    <n v="0"/>
    <n v="0"/>
    <m/>
    <m/>
    <m/>
    <m/>
    <m/>
    <m/>
    <m/>
    <m/>
    <m/>
    <m/>
    <m/>
    <m/>
  </r>
  <r>
    <x v="9"/>
    <s v="Sampson Community College"/>
    <n v="199625"/>
    <x v="8"/>
    <n v="54247.499999999993"/>
    <n v="57480"/>
    <n v="37609.5"/>
    <n v="36797.100000000006"/>
    <n v="12719.7"/>
    <n v="15296.699999999999"/>
    <n v="2071.1999999999998"/>
    <n v="540"/>
    <n v="1307.0999999999999"/>
    <n v="2520"/>
    <n v="545.69999999999993"/>
    <n v="2320.5"/>
    <m/>
    <m/>
    <n v="0"/>
    <n v="0"/>
    <m/>
    <m/>
    <m/>
    <m/>
    <m/>
    <m/>
    <m/>
    <m/>
    <m/>
    <m/>
    <m/>
    <m/>
  </r>
  <r>
    <x v="9"/>
    <s v="Tri-County Community College "/>
    <n v="199795"/>
    <x v="8"/>
    <n v="37699.200000000004"/>
    <n v="34800"/>
    <n v="21025.5"/>
    <n v="20501.7"/>
    <n v="11531.7"/>
    <n v="6129.3"/>
    <n v="2630.1"/>
    <n v="78.900000000000006"/>
    <n v="2433"/>
    <n v="4096.5"/>
    <n v="522.29999999999995"/>
    <n v="3550.2000000000003"/>
    <m/>
    <m/>
    <n v="0"/>
    <n v="0"/>
    <m/>
    <m/>
    <m/>
    <m/>
    <m/>
    <m/>
    <m/>
    <m/>
    <m/>
    <m/>
    <m/>
    <m/>
  </r>
  <r>
    <x v="9"/>
    <s v="North Carolina School of the Arts"/>
    <n v="199184"/>
    <x v="12"/>
    <n v="0"/>
    <n v="0"/>
    <m/>
    <m/>
    <m/>
    <m/>
    <m/>
    <m/>
    <m/>
    <m/>
    <m/>
    <m/>
    <m/>
    <m/>
    <n v="0"/>
    <n v="0"/>
    <m/>
    <m/>
    <m/>
    <m/>
    <m/>
    <m/>
    <m/>
    <m/>
    <m/>
    <m/>
    <m/>
    <m/>
  </r>
  <r>
    <x v="10"/>
    <s v="Oklahoma State University Main Campus"/>
    <n v="207388"/>
    <x v="0"/>
    <n v="509786"/>
    <n v="507654"/>
    <n v="504301"/>
    <n v="484524"/>
    <m/>
    <n v="5542"/>
    <n v="4979"/>
    <n v="8"/>
    <n v="82"/>
    <n v="16816"/>
    <m/>
    <n v="148"/>
    <n v="416"/>
    <n v="624"/>
    <n v="65929"/>
    <n v="64375"/>
    <n v="63153"/>
    <n v="55293"/>
    <m/>
    <n v="760"/>
    <n v="2667"/>
    <n v="9"/>
    <n v="60"/>
    <n v="7447"/>
    <m/>
    <n v="618"/>
    <n v="40"/>
    <n v="257"/>
  </r>
  <r>
    <x v="10"/>
    <s v="University of Oklahoma Norman Campus"/>
    <n v="207500"/>
    <x v="0"/>
    <n v="560073"/>
    <n v="526352"/>
    <n v="500431"/>
    <n v="487925"/>
    <n v="9632"/>
    <n v="1121"/>
    <n v="45449"/>
    <n v="3189"/>
    <n v="222"/>
    <n v="36348"/>
    <n v="64"/>
    <n v="237"/>
    <n v="1150"/>
    <n v="657"/>
    <n v="109867"/>
    <n v="92761"/>
    <n v="51276"/>
    <n v="64469"/>
    <n v="20487"/>
    <n v="18281"/>
    <n v="13333"/>
    <n v="24633"/>
    <n v="138"/>
    <n v="9369"/>
    <n v="642"/>
    <m/>
    <m/>
    <m/>
  </r>
  <r>
    <x v="10"/>
    <s v="Northeastern State University"/>
    <n v="207263"/>
    <x v="2"/>
    <n v="206824"/>
    <n v="199691"/>
    <n v="199139"/>
    <n v="183756"/>
    <m/>
    <m/>
    <n v="7173"/>
    <n v="512"/>
    <m/>
    <n v="14831"/>
    <n v="1104"/>
    <m/>
    <m/>
    <m/>
    <n v="14330"/>
    <n v="17863"/>
    <n v="13589"/>
    <n v="16603"/>
    <m/>
    <m/>
    <n v="465"/>
    <n v="276"/>
    <m/>
    <n v="786"/>
    <n v="474"/>
    <m/>
    <m/>
    <m/>
  </r>
  <r>
    <x v="10"/>
    <s v="University of Central Oklahoma"/>
    <n v="206941"/>
    <x v="2"/>
    <n v="324735"/>
    <n v="311394"/>
    <n v="312245"/>
    <n v="293529"/>
    <n v="2741"/>
    <n v="2773"/>
    <n v="6408"/>
    <n v="132"/>
    <n v="3209"/>
    <n v="11395"/>
    <n v="297"/>
    <n v="3400"/>
    <m/>
    <m/>
    <n v="22791"/>
    <n v="20251"/>
    <n v="19874"/>
    <n v="16494"/>
    <n v="769"/>
    <n v="618"/>
    <n v="859"/>
    <n v="120"/>
    <n v="1169"/>
    <n v="1640"/>
    <n v="121"/>
    <n v="1378"/>
    <m/>
    <m/>
  </r>
  <r>
    <x v="10"/>
    <s v="Cameron University "/>
    <n v="206914"/>
    <x v="4"/>
    <n v="120115"/>
    <n v="118501"/>
    <n v="99777"/>
    <n v="97161"/>
    <m/>
    <m/>
    <n v="10742"/>
    <n v="9548"/>
    <n v="48"/>
    <n v="10710"/>
    <n v="10630"/>
    <m/>
    <m/>
    <m/>
    <n v="6549"/>
    <n v="5870"/>
    <n v="3321"/>
    <n v="2768"/>
    <m/>
    <m/>
    <n v="1638"/>
    <n v="1590"/>
    <m/>
    <n v="1842"/>
    <n v="1260"/>
    <m/>
    <m/>
    <m/>
  </r>
  <r>
    <x v="10"/>
    <s v="East Central University "/>
    <n v="207041"/>
    <x v="4"/>
    <n v="98443"/>
    <n v="88708"/>
    <n v="86072"/>
    <n v="77529"/>
    <n v="528"/>
    <n v="6"/>
    <n v="4678"/>
    <n v="1492"/>
    <n v="5673"/>
    <n v="4401"/>
    <n v="2669"/>
    <n v="4103"/>
    <m/>
    <m/>
    <n v="13870"/>
    <n v="10469"/>
    <n v="7459"/>
    <n v="5039"/>
    <n v="906"/>
    <n v="457"/>
    <n v="3287"/>
    <n v="1558"/>
    <n v="660"/>
    <n v="2648"/>
    <n v="1581"/>
    <n v="744"/>
    <m/>
    <m/>
  </r>
  <r>
    <x v="10"/>
    <s v="Langston University"/>
    <n v="207209"/>
    <x v="4"/>
    <n v="68233"/>
    <n v="65157"/>
    <n v="68233"/>
    <n v="65157"/>
    <m/>
    <m/>
    <m/>
    <m/>
    <m/>
    <m/>
    <m/>
    <m/>
    <m/>
    <m/>
    <n v="4051"/>
    <n v="7597"/>
    <n v="4051"/>
    <n v="7597"/>
    <m/>
    <m/>
    <m/>
    <m/>
    <m/>
    <m/>
    <m/>
    <m/>
    <m/>
    <m/>
  </r>
  <r>
    <x v="10"/>
    <s v="Northwestern Oklahoma State University "/>
    <n v="207306"/>
    <x v="4"/>
    <n v="46649"/>
    <n v="48494"/>
    <n v="34543"/>
    <n v="35862"/>
    <n v="66"/>
    <n v="126"/>
    <n v="4673"/>
    <n v="7202"/>
    <n v="165"/>
    <n v="5358"/>
    <n v="7025"/>
    <n v="123"/>
    <m/>
    <m/>
    <n v="3738"/>
    <n v="3261"/>
    <n v="2327"/>
    <n v="1443"/>
    <n v="3"/>
    <m/>
    <n v="318"/>
    <n v="1090"/>
    <m/>
    <n v="422"/>
    <n v="1396"/>
    <m/>
    <m/>
    <m/>
  </r>
  <r>
    <x v="10"/>
    <s v="Southeastern Oklahoma State University "/>
    <n v="207847"/>
    <x v="4"/>
    <n v="92699"/>
    <n v="91009"/>
    <n v="69719"/>
    <n v="66795"/>
    <m/>
    <m/>
    <n v="19395"/>
    <n v="3585"/>
    <m/>
    <n v="19779"/>
    <n v="4435"/>
    <m/>
    <m/>
    <m/>
    <n v="5356"/>
    <n v="5714"/>
    <n v="3424"/>
    <n v="3509"/>
    <n v="84"/>
    <n v="198"/>
    <n v="1098"/>
    <n v="750"/>
    <m/>
    <n v="1494"/>
    <n v="513"/>
    <m/>
    <m/>
    <m/>
  </r>
  <r>
    <x v="10"/>
    <s v="Southwestern Oklahoma State University"/>
    <n v="207865"/>
    <x v="4"/>
    <n v="114793"/>
    <n v="116855"/>
    <n v="109700"/>
    <n v="111077"/>
    <n v="973"/>
    <n v="1084"/>
    <n v="1197"/>
    <n v="1668"/>
    <n v="1255"/>
    <n v="1445"/>
    <n v="2065"/>
    <n v="1184"/>
    <m/>
    <m/>
    <n v="8894"/>
    <n v="11935"/>
    <n v="4661"/>
    <n v="8665"/>
    <m/>
    <m/>
    <n v="249"/>
    <n v="3984"/>
    <m/>
    <n v="126"/>
    <n v="3144"/>
    <m/>
    <m/>
    <m/>
  </r>
  <r>
    <x v="10"/>
    <s v="Oklahoma Panhandle State University "/>
    <n v="207351"/>
    <x v="5"/>
    <n v="30861"/>
    <n v="32283"/>
    <n v="27984"/>
    <n v="27863"/>
    <m/>
    <m/>
    <n v="2823"/>
    <n v="51"/>
    <m/>
    <n v="4179"/>
    <n v="240"/>
    <n v="1"/>
    <n v="3"/>
    <m/>
    <n v="0"/>
    <n v="0"/>
    <m/>
    <m/>
    <m/>
    <m/>
    <m/>
    <m/>
    <m/>
    <m/>
    <m/>
    <m/>
    <m/>
    <m/>
  </r>
  <r>
    <x v="10"/>
    <s v="Rogers State University"/>
    <n v="207661"/>
    <x v="5"/>
    <n v="84008"/>
    <n v="84566"/>
    <n v="59387"/>
    <n v="57220"/>
    <n v="1587"/>
    <n v="2130"/>
    <n v="19575"/>
    <n v="3459"/>
    <m/>
    <n v="21353"/>
    <n v="3863"/>
    <m/>
    <m/>
    <m/>
    <n v="0"/>
    <n v="0"/>
    <m/>
    <m/>
    <m/>
    <m/>
    <m/>
    <m/>
    <m/>
    <m/>
    <m/>
    <m/>
    <m/>
    <m/>
  </r>
  <r>
    <x v="10"/>
    <s v="University of Science and Arts of Oklahoma"/>
    <n v="207722"/>
    <x v="5"/>
    <n v="34065"/>
    <n v="32312"/>
    <n v="33655"/>
    <n v="32013"/>
    <n v="410"/>
    <n v="299"/>
    <m/>
    <m/>
    <m/>
    <m/>
    <m/>
    <m/>
    <m/>
    <m/>
    <n v="0"/>
    <n v="0"/>
    <m/>
    <m/>
    <m/>
    <m/>
    <m/>
    <m/>
    <m/>
    <m/>
    <m/>
    <m/>
    <m/>
    <m/>
  </r>
  <r>
    <x v="10"/>
    <s v="Oklahoma State University Technical Branch-Okmulgee "/>
    <n v="207564"/>
    <x v="11"/>
    <n v="80089"/>
    <n v="88090"/>
    <n v="65452"/>
    <n v="69487"/>
    <n v="14637"/>
    <n v="18603"/>
    <m/>
    <m/>
    <m/>
    <m/>
    <m/>
    <m/>
    <m/>
    <m/>
    <n v="0"/>
    <n v="0"/>
    <m/>
    <m/>
    <m/>
    <m/>
    <m/>
    <m/>
    <m/>
    <m/>
    <m/>
    <m/>
    <m/>
    <m/>
  </r>
  <r>
    <x v="10"/>
    <s v="Oklahoma City Community College "/>
    <n v="207449"/>
    <x v="6"/>
    <n v="240531"/>
    <n v="238411"/>
    <n v="178905"/>
    <n v="184344"/>
    <n v="20751"/>
    <n v="11725"/>
    <n v="29634"/>
    <n v="153"/>
    <n v="639"/>
    <n v="32478"/>
    <m/>
    <m/>
    <n v="10449"/>
    <n v="9864"/>
    <n v="0"/>
    <n v="0"/>
    <m/>
    <m/>
    <m/>
    <m/>
    <m/>
    <m/>
    <m/>
    <m/>
    <m/>
    <m/>
    <m/>
    <m/>
  </r>
  <r>
    <x v="10"/>
    <s v="Tulsa Community College "/>
    <n v="207935"/>
    <x v="6"/>
    <n v="319105"/>
    <n v="340828"/>
    <n v="241007"/>
    <n v="251135"/>
    <n v="12423"/>
    <n v="14907"/>
    <n v="61027"/>
    <n v="681"/>
    <n v="3967"/>
    <n v="71318"/>
    <n v="587"/>
    <n v="2881"/>
    <m/>
    <m/>
    <n v="0"/>
    <n v="0"/>
    <m/>
    <m/>
    <m/>
    <m/>
    <m/>
    <m/>
    <m/>
    <m/>
    <m/>
    <m/>
    <m/>
    <m/>
  </r>
  <r>
    <x v="10"/>
    <s v="Northern Oklahoma College "/>
    <n v="207281"/>
    <x v="7"/>
    <n v="104613"/>
    <n v="104328"/>
    <n v="84849"/>
    <n v="90987"/>
    <n v="6479"/>
    <n v="4710"/>
    <n v="7373"/>
    <n v="5912"/>
    <m/>
    <n v="3839"/>
    <n v="4792"/>
    <m/>
    <m/>
    <m/>
    <n v="0"/>
    <n v="0"/>
    <m/>
    <m/>
    <m/>
    <m/>
    <m/>
    <m/>
    <m/>
    <m/>
    <m/>
    <m/>
    <m/>
    <m/>
  </r>
  <r>
    <x v="10"/>
    <s v="Oklahoma State University-Oklahoma City "/>
    <n v="207397"/>
    <x v="7"/>
    <n v="111042"/>
    <n v="113666"/>
    <n v="81170"/>
    <n v="80899"/>
    <m/>
    <m/>
    <n v="25626"/>
    <m/>
    <n v="4246"/>
    <n v="28594"/>
    <m/>
    <n v="4173"/>
    <m/>
    <m/>
    <n v="0"/>
    <n v="0"/>
    <m/>
    <m/>
    <m/>
    <m/>
    <m/>
    <m/>
    <m/>
    <m/>
    <m/>
    <m/>
    <m/>
    <m/>
  </r>
  <r>
    <x v="10"/>
    <s v="Rose State College "/>
    <n v="207670"/>
    <x v="7"/>
    <n v="146284"/>
    <n v="139993"/>
    <n v="113076"/>
    <n v="103715"/>
    <n v="6485"/>
    <n v="8321"/>
    <n v="23560"/>
    <n v="129"/>
    <n v="3034"/>
    <n v="25674"/>
    <n v="39"/>
    <n v="2244"/>
    <m/>
    <m/>
    <n v="0"/>
    <n v="0"/>
    <m/>
    <m/>
    <m/>
    <m/>
    <m/>
    <m/>
    <m/>
    <m/>
    <m/>
    <m/>
    <m/>
    <m/>
  </r>
  <r>
    <x v="10"/>
    <s v="Carl Albert State College"/>
    <n v="206923"/>
    <x v="8"/>
    <n v="54293"/>
    <n v="54875"/>
    <n v="42494"/>
    <n v="43336"/>
    <n v="204"/>
    <n v="64"/>
    <n v="11595"/>
    <m/>
    <m/>
    <n v="11145"/>
    <n v="330"/>
    <m/>
    <m/>
    <m/>
    <n v="0"/>
    <n v="0"/>
    <m/>
    <m/>
    <m/>
    <m/>
    <m/>
    <m/>
    <m/>
    <m/>
    <m/>
    <m/>
    <m/>
    <m/>
  </r>
  <r>
    <x v="10"/>
    <s v="Connors State College "/>
    <n v="206996"/>
    <x v="8"/>
    <n v="49383"/>
    <n v="49565"/>
    <n v="34073"/>
    <n v="31977"/>
    <n v="8215"/>
    <n v="9481"/>
    <n v="1982"/>
    <n v="5113"/>
    <m/>
    <n v="2898"/>
    <n v="5209"/>
    <m/>
    <m/>
    <m/>
    <n v="0"/>
    <n v="0"/>
    <m/>
    <m/>
    <m/>
    <m/>
    <m/>
    <m/>
    <m/>
    <m/>
    <m/>
    <m/>
    <m/>
    <m/>
  </r>
  <r>
    <x v="10"/>
    <s v="Eastern Oklahoma State College "/>
    <n v="207050"/>
    <x v="8"/>
    <n v="39131"/>
    <n v="40216"/>
    <n v="31944"/>
    <n v="31797"/>
    <n v="2260"/>
    <n v="1874"/>
    <n v="3284"/>
    <n v="1643"/>
    <m/>
    <n v="4154"/>
    <n v="2391"/>
    <m/>
    <m/>
    <m/>
    <n v="0"/>
    <n v="0"/>
    <m/>
    <m/>
    <m/>
    <m/>
    <m/>
    <m/>
    <m/>
    <m/>
    <m/>
    <m/>
    <m/>
    <m/>
  </r>
  <r>
    <x v="10"/>
    <s v="Murray State College "/>
    <n v="207236"/>
    <x v="8"/>
    <n v="48975"/>
    <n v="51132"/>
    <n v="36385"/>
    <n v="36407"/>
    <n v="426"/>
    <n v="432"/>
    <n v="8396"/>
    <n v="3636"/>
    <n v="132"/>
    <n v="9849"/>
    <n v="4444"/>
    <m/>
    <m/>
    <m/>
    <n v="0"/>
    <n v="0"/>
    <m/>
    <m/>
    <m/>
    <m/>
    <m/>
    <m/>
    <m/>
    <m/>
    <m/>
    <m/>
    <m/>
    <m/>
  </r>
  <r>
    <x v="10"/>
    <s v="Northeastern Oklahoma A &amp; M College "/>
    <n v="207290"/>
    <x v="8"/>
    <n v="44606"/>
    <n v="45515"/>
    <n v="41324"/>
    <n v="40822"/>
    <n v="228"/>
    <n v="367"/>
    <n v="2871"/>
    <n v="183"/>
    <m/>
    <n v="3798"/>
    <n v="510"/>
    <n v="18"/>
    <m/>
    <m/>
    <n v="0"/>
    <n v="0"/>
    <m/>
    <m/>
    <m/>
    <m/>
    <m/>
    <m/>
    <m/>
    <m/>
    <m/>
    <m/>
    <m/>
    <m/>
  </r>
  <r>
    <x v="10"/>
    <s v="Redlands Community College"/>
    <n v="207069"/>
    <x v="8"/>
    <n v="43485"/>
    <n v="42400"/>
    <n v="32461"/>
    <n v="22796"/>
    <n v="3175"/>
    <n v="5737"/>
    <n v="6958"/>
    <n v="606"/>
    <n v="285"/>
    <n v="12244"/>
    <n v="1575"/>
    <n v="48"/>
    <m/>
    <m/>
    <n v="0"/>
    <n v="0"/>
    <m/>
    <m/>
    <m/>
    <m/>
    <m/>
    <m/>
    <m/>
    <m/>
    <m/>
    <m/>
    <m/>
    <m/>
  </r>
  <r>
    <x v="10"/>
    <s v="Seminole State College "/>
    <n v="207740"/>
    <x v="8"/>
    <n v="41355"/>
    <n v="42628"/>
    <n v="31325"/>
    <n v="30824"/>
    <n v="6979"/>
    <n v="7438"/>
    <n v="2832"/>
    <n v="129"/>
    <n v="90"/>
    <n v="4183"/>
    <n v="135"/>
    <n v="48"/>
    <m/>
    <m/>
    <n v="0"/>
    <n v="0"/>
    <m/>
    <m/>
    <m/>
    <m/>
    <m/>
    <m/>
    <m/>
    <m/>
    <m/>
    <m/>
    <m/>
    <m/>
  </r>
  <r>
    <x v="10"/>
    <s v="Western Oklahoma State College "/>
    <n v="208035"/>
    <x v="8"/>
    <n v="36475"/>
    <n v="38219"/>
    <n v="17980"/>
    <n v="18937"/>
    <n v="5469"/>
    <n v="4987"/>
    <n v="9948"/>
    <n v="2529"/>
    <n v="549"/>
    <n v="10821"/>
    <n v="2916"/>
    <n v="558"/>
    <m/>
    <m/>
    <n v="0"/>
    <n v="0"/>
    <m/>
    <m/>
    <m/>
    <m/>
    <m/>
    <m/>
    <m/>
    <m/>
    <m/>
    <m/>
    <m/>
    <m/>
  </r>
  <r>
    <x v="11"/>
    <s v="Clemson University"/>
    <n v="217882"/>
    <x v="0"/>
    <n v="428375"/>
    <n v="441422"/>
    <n v="405121"/>
    <n v="417484"/>
    <n v="3081"/>
    <n v="3385"/>
    <n v="20173"/>
    <m/>
    <m/>
    <n v="20553"/>
    <m/>
    <m/>
    <m/>
    <m/>
    <n v="53233"/>
    <n v="59721"/>
    <n v="50349"/>
    <n v="52431"/>
    <n v="1601"/>
    <n v="5560"/>
    <n v="1283"/>
    <m/>
    <m/>
    <n v="1730"/>
    <m/>
    <m/>
    <m/>
    <m/>
  </r>
  <r>
    <x v="11"/>
    <s v="University of South Carolina-Columbia"/>
    <n v="218663"/>
    <x v="0"/>
    <n v="552171"/>
    <n v="577517"/>
    <n v="536210"/>
    <n v="555583"/>
    <n v="14547"/>
    <n v="14518"/>
    <n v="460"/>
    <m/>
    <n v="954"/>
    <n v="885"/>
    <n v="1389"/>
    <n v="5142"/>
    <m/>
    <m/>
    <n v="110330"/>
    <n v="107142"/>
    <n v="80990"/>
    <n v="72578"/>
    <n v="13686"/>
    <n v="9263"/>
    <n v="11425"/>
    <m/>
    <n v="4229"/>
    <n v="16545"/>
    <n v="84"/>
    <n v="8672"/>
    <m/>
    <m/>
  </r>
  <r>
    <x v="11"/>
    <s v="College of Charleston"/>
    <n v="217819"/>
    <x v="2"/>
    <n v="285371"/>
    <n v="283739"/>
    <n v="285371"/>
    <n v="283739"/>
    <n v="0"/>
    <m/>
    <m/>
    <m/>
    <m/>
    <m/>
    <m/>
    <m/>
    <m/>
    <m/>
    <n v="17399"/>
    <n v="18871"/>
    <n v="11170"/>
    <n v="10447"/>
    <n v="6097"/>
    <n v="8136"/>
    <n v="132"/>
    <m/>
    <m/>
    <n v="288"/>
    <m/>
    <m/>
    <m/>
    <m/>
  </r>
  <r>
    <x v="11"/>
    <s v="Winthrop University "/>
    <n v="218964"/>
    <x v="2"/>
    <n v="144760"/>
    <n v="144635.5"/>
    <n v="143578"/>
    <n v="143463.5"/>
    <n v="1182"/>
    <n v="1172"/>
    <m/>
    <m/>
    <m/>
    <m/>
    <m/>
    <m/>
    <m/>
    <m/>
    <n v="15758"/>
    <n v="16598"/>
    <n v="13044"/>
    <n v="13882"/>
    <n v="2714"/>
    <n v="2716"/>
    <m/>
    <m/>
    <m/>
    <m/>
    <m/>
    <m/>
    <m/>
    <m/>
  </r>
  <r>
    <x v="11"/>
    <s v="The Citadel, the Military College of South Carolina "/>
    <n v="217864"/>
    <x v="3"/>
    <n v="80748"/>
    <n v="81587"/>
    <n v="80583"/>
    <n v="81329"/>
    <n v="132"/>
    <n v="156"/>
    <n v="33"/>
    <m/>
    <m/>
    <n v="102"/>
    <m/>
    <m/>
    <m/>
    <m/>
    <n v="15524"/>
    <n v="15795.5"/>
    <n v="13352"/>
    <n v="13504.5"/>
    <n v="2172"/>
    <n v="1710"/>
    <m/>
    <m/>
    <m/>
    <n v="581"/>
    <m/>
    <m/>
    <m/>
    <m/>
  </r>
  <r>
    <x v="11"/>
    <s v="Coastal Carolina University"/>
    <n v="218724"/>
    <x v="4"/>
    <n v="200795"/>
    <n v="213061"/>
    <n v="195809"/>
    <n v="207530"/>
    <n v="1420"/>
    <n v="1094"/>
    <n v="3566"/>
    <m/>
    <m/>
    <n v="4437"/>
    <m/>
    <m/>
    <m/>
    <m/>
    <n v="10046"/>
    <n v="7553"/>
    <n v="4591"/>
    <n v="4439"/>
    <n v="3490"/>
    <n v="1413"/>
    <n v="1965"/>
    <m/>
    <m/>
    <n v="1701"/>
    <m/>
    <m/>
    <m/>
    <m/>
  </r>
  <r>
    <x v="11"/>
    <s v="Francis Marion University "/>
    <n v="218061"/>
    <x v="4"/>
    <n v="95078"/>
    <n v="95142"/>
    <n v="95022"/>
    <n v="95062"/>
    <n v="56"/>
    <n v="80"/>
    <m/>
    <m/>
    <m/>
    <m/>
    <m/>
    <m/>
    <m/>
    <m/>
    <n v="5570"/>
    <n v="5666"/>
    <n v="3635"/>
    <n v="3081"/>
    <n v="1935"/>
    <n v="2585"/>
    <m/>
    <m/>
    <m/>
    <m/>
    <m/>
    <m/>
    <m/>
    <m/>
  </r>
  <r>
    <x v="11"/>
    <s v="Lander University"/>
    <n v="218229"/>
    <x v="4"/>
    <n v="67602"/>
    <n v="69162.5"/>
    <n v="65832.5"/>
    <n v="64423"/>
    <n v="1249.5"/>
    <n v="620"/>
    <n v="520"/>
    <m/>
    <m/>
    <n v="3369.5"/>
    <n v="750"/>
    <m/>
    <m/>
    <m/>
    <n v="1507"/>
    <n v="1626"/>
    <n v="1507"/>
    <n v="972"/>
    <m/>
    <n v="270"/>
    <m/>
    <m/>
    <m/>
    <n v="384"/>
    <m/>
    <m/>
    <m/>
    <m/>
  </r>
  <r>
    <x v="11"/>
    <s v="South Carolina State University "/>
    <n v="218733"/>
    <x v="4"/>
    <n v="124918"/>
    <n v="125474"/>
    <n v="124200"/>
    <n v="125145"/>
    <n v="693"/>
    <n v="329"/>
    <m/>
    <m/>
    <n v="25"/>
    <m/>
    <m/>
    <m/>
    <m/>
    <m/>
    <n v="11110"/>
    <n v="12370"/>
    <n v="9554"/>
    <n v="10780"/>
    <n v="1361"/>
    <n v="918"/>
    <m/>
    <m/>
    <n v="195"/>
    <n v="672"/>
    <m/>
    <m/>
    <m/>
    <m/>
  </r>
  <r>
    <x v="11"/>
    <s v="University of South Carolina-Aiken"/>
    <n v="218645"/>
    <x v="5"/>
    <n v="80738"/>
    <n v="81503"/>
    <n v="76726"/>
    <n v="77213"/>
    <n v="3390"/>
    <n v="3643"/>
    <n v="622"/>
    <m/>
    <m/>
    <n v="647"/>
    <m/>
    <m/>
    <m/>
    <m/>
    <n v="1490"/>
    <n v="1490"/>
    <n v="1250"/>
    <n v="807"/>
    <n v="45"/>
    <n v="470"/>
    <n v="195"/>
    <m/>
    <m/>
    <n v="213"/>
    <m/>
    <m/>
    <m/>
    <m/>
  </r>
  <r>
    <x v="11"/>
    <s v="University of South Carolina-Upstate"/>
    <n v="218742"/>
    <x v="5"/>
    <n v="133906"/>
    <n v="137057"/>
    <n v="114299"/>
    <n v="115967"/>
    <n v="19607"/>
    <n v="21090"/>
    <m/>
    <m/>
    <m/>
    <m/>
    <m/>
    <m/>
    <m/>
    <m/>
    <n v="1179"/>
    <n v="1156"/>
    <n v="771"/>
    <n v="409"/>
    <n v="408"/>
    <n v="747"/>
    <m/>
    <m/>
    <m/>
    <m/>
    <m/>
    <m/>
    <m/>
    <m/>
  </r>
  <r>
    <x v="11"/>
    <s v="University of South Carolina-Beaufort"/>
    <n v="218654"/>
    <x v="11"/>
    <n v="32840"/>
    <n v="35651"/>
    <n v="26950"/>
    <n v="30275"/>
    <n v="4557"/>
    <n v="4205"/>
    <n v="1333"/>
    <m/>
    <m/>
    <n v="1171"/>
    <m/>
    <m/>
    <m/>
    <m/>
    <n v="0"/>
    <n v="0"/>
    <m/>
    <m/>
    <m/>
    <m/>
    <m/>
    <m/>
    <m/>
    <m/>
    <m/>
    <m/>
    <m/>
    <m/>
  </r>
  <r>
    <x v="11"/>
    <s v="Greenville Technical College "/>
    <n v="218113"/>
    <x v="6"/>
    <n v="312939"/>
    <n v="326553.39"/>
    <n v="273228"/>
    <n v="251045.39"/>
    <n v="21335"/>
    <n v="20709"/>
    <n v="17956"/>
    <n v="159"/>
    <n v="261"/>
    <n v="51211"/>
    <n v="3204"/>
    <n v="384"/>
    <m/>
    <m/>
    <n v="0"/>
    <n v="0"/>
    <m/>
    <m/>
    <m/>
    <m/>
    <m/>
    <m/>
    <m/>
    <m/>
    <m/>
    <m/>
    <m/>
    <m/>
  </r>
  <r>
    <x v="11"/>
    <s v="Midlands Technical College "/>
    <n v="218353"/>
    <x v="6"/>
    <n v="254190"/>
    <n v="264497.89"/>
    <n v="229599"/>
    <n v="217146.89"/>
    <n v="16034"/>
    <n v="17328"/>
    <n v="8557"/>
    <m/>
    <m/>
    <n v="30023"/>
    <m/>
    <m/>
    <m/>
    <m/>
    <n v="0"/>
    <n v="0"/>
    <m/>
    <m/>
    <m/>
    <m/>
    <m/>
    <m/>
    <m/>
    <m/>
    <m/>
    <m/>
    <m/>
    <m/>
  </r>
  <r>
    <x v="11"/>
    <s v="Trident Technical College "/>
    <n v="218894"/>
    <x v="6"/>
    <n v="271390"/>
    <n v="286829.2"/>
    <n v="244763"/>
    <n v="223730.2"/>
    <n v="8000"/>
    <n v="8715"/>
    <n v="17709"/>
    <n v="156"/>
    <n v="762"/>
    <n v="51588"/>
    <n v="930"/>
    <n v="1866"/>
    <m/>
    <m/>
    <n v="0"/>
    <n v="0"/>
    <m/>
    <m/>
    <m/>
    <m/>
    <m/>
    <m/>
    <m/>
    <m/>
    <m/>
    <m/>
    <m/>
    <m/>
  </r>
  <r>
    <x v="11"/>
    <s v="Aiken Technical College "/>
    <n v="217615"/>
    <x v="7"/>
    <n v="64797"/>
    <n v="68139.72"/>
    <n v="60001"/>
    <n v="55396.72"/>
    <n v="2783"/>
    <n v="3397"/>
    <n v="2013"/>
    <m/>
    <m/>
    <n v="9346"/>
    <m/>
    <m/>
    <m/>
    <m/>
    <n v="0"/>
    <n v="0"/>
    <m/>
    <m/>
    <m/>
    <m/>
    <m/>
    <m/>
    <m/>
    <m/>
    <m/>
    <m/>
    <m/>
    <m/>
  </r>
  <r>
    <x v="11"/>
    <s v="Central Carolina Technical College "/>
    <n v="218858"/>
    <x v="7"/>
    <n v="68206"/>
    <n v="72580.78"/>
    <n v="58696"/>
    <n v="53363.78"/>
    <n v="9510"/>
    <n v="9212"/>
    <m/>
    <m/>
    <m/>
    <n v="9741"/>
    <n v="264"/>
    <m/>
    <m/>
    <m/>
    <n v="0"/>
    <n v="0"/>
    <m/>
    <m/>
    <m/>
    <m/>
    <m/>
    <m/>
    <m/>
    <m/>
    <m/>
    <m/>
    <m/>
    <m/>
  </r>
  <r>
    <x v="11"/>
    <s v="Florence-Darlington Technical College "/>
    <n v="218025"/>
    <x v="7"/>
    <n v="99582"/>
    <n v="107799.95999999999"/>
    <n v="87024"/>
    <n v="81549.959999999992"/>
    <n v="12558"/>
    <n v="9276"/>
    <m/>
    <m/>
    <m/>
    <n v="11807"/>
    <n v="5167"/>
    <m/>
    <m/>
    <m/>
    <n v="0"/>
    <n v="0"/>
    <m/>
    <m/>
    <m/>
    <m/>
    <m/>
    <m/>
    <m/>
    <m/>
    <m/>
    <m/>
    <m/>
    <m/>
  </r>
  <r>
    <x v="11"/>
    <s v="Horry-Georgetown Technical College "/>
    <n v="218140"/>
    <x v="7"/>
    <n v="128383"/>
    <n v="133489.25"/>
    <n v="122243"/>
    <n v="111208.25"/>
    <n v="5985"/>
    <n v="6517"/>
    <n v="155"/>
    <m/>
    <m/>
    <n v="14648"/>
    <n v="1116"/>
    <m/>
    <m/>
    <m/>
    <n v="0"/>
    <n v="0"/>
    <m/>
    <m/>
    <m/>
    <m/>
    <m/>
    <m/>
    <m/>
    <m/>
    <m/>
    <m/>
    <m/>
    <m/>
  </r>
  <r>
    <x v="11"/>
    <s v="Orangeburg-Calhoun Technical College "/>
    <n v="218487"/>
    <x v="7"/>
    <n v="61271"/>
    <n v="62363.15"/>
    <n v="52405"/>
    <n v="49277.15"/>
    <n v="6736"/>
    <n v="7469"/>
    <n v="2130"/>
    <m/>
    <m/>
    <n v="5617"/>
    <m/>
    <m/>
    <m/>
    <m/>
    <n v="0"/>
    <n v="0"/>
    <m/>
    <m/>
    <m/>
    <m/>
    <m/>
    <m/>
    <m/>
    <m/>
    <m/>
    <m/>
    <m/>
    <m/>
  </r>
  <r>
    <x v="11"/>
    <s v="Piedmont Technical College "/>
    <n v="218520"/>
    <x v="7"/>
    <n v="118468"/>
    <n v="121296.55"/>
    <n v="94722"/>
    <n v="66385.55"/>
    <n v="15501"/>
    <n v="16268"/>
    <n v="8245"/>
    <m/>
    <m/>
    <n v="23970"/>
    <n v="14673"/>
    <m/>
    <m/>
    <m/>
    <n v="0"/>
    <n v="0"/>
    <m/>
    <m/>
    <m/>
    <m/>
    <m/>
    <m/>
    <m/>
    <m/>
    <m/>
    <m/>
    <m/>
    <m/>
  </r>
  <r>
    <x v="11"/>
    <s v="Spartanburg Community College "/>
    <n v="218830"/>
    <x v="7"/>
    <n v="108099"/>
    <n v="114583.45"/>
    <n v="99375"/>
    <n v="97200.45"/>
    <n v="5590"/>
    <n v="5261"/>
    <n v="3134"/>
    <m/>
    <m/>
    <n v="11942"/>
    <n v="132"/>
    <n v="48"/>
    <m/>
    <m/>
    <n v="0"/>
    <n v="0"/>
    <m/>
    <m/>
    <m/>
    <m/>
    <m/>
    <m/>
    <m/>
    <m/>
    <m/>
    <m/>
    <m/>
    <m/>
  </r>
  <r>
    <x v="11"/>
    <s v="Tri-County Technical College "/>
    <n v="218885"/>
    <x v="7"/>
    <n v="128234"/>
    <n v="139029.47"/>
    <n v="119716"/>
    <n v="114761.47"/>
    <n v="2652"/>
    <n v="5339"/>
    <n v="5866"/>
    <m/>
    <m/>
    <n v="18929"/>
    <m/>
    <m/>
    <m/>
    <m/>
    <n v="0"/>
    <n v="0"/>
    <m/>
    <m/>
    <m/>
    <m/>
    <m/>
    <m/>
    <m/>
    <m/>
    <m/>
    <m/>
    <m/>
    <m/>
  </r>
  <r>
    <x v="11"/>
    <s v="York Technical College "/>
    <n v="218991"/>
    <x v="7"/>
    <n v="112449"/>
    <n v="122659.51999999999"/>
    <n v="103481"/>
    <n v="83346.51999999999"/>
    <n v="8068"/>
    <n v="10417"/>
    <n v="62"/>
    <n v="838"/>
    <m/>
    <n v="21453"/>
    <n v="6393"/>
    <n v="1050"/>
    <m/>
    <m/>
    <n v="0"/>
    <n v="0"/>
    <m/>
    <m/>
    <m/>
    <m/>
    <m/>
    <m/>
    <m/>
    <m/>
    <m/>
    <m/>
    <m/>
    <m/>
  </r>
  <r>
    <x v="11"/>
    <s v="Denmark Technical College "/>
    <n v="217989"/>
    <x v="8"/>
    <n v="34905"/>
    <n v="37777.600000000006"/>
    <n v="34200"/>
    <n v="34297.600000000006"/>
    <n v="705"/>
    <n v="1719"/>
    <m/>
    <m/>
    <m/>
    <n v="1761"/>
    <m/>
    <m/>
    <m/>
    <m/>
    <n v="0"/>
    <n v="0"/>
    <m/>
    <m/>
    <m/>
    <m/>
    <m/>
    <m/>
    <m/>
    <m/>
    <m/>
    <m/>
    <m/>
    <m/>
  </r>
  <r>
    <x v="11"/>
    <s v="Northeastern Technical College "/>
    <n v="217837"/>
    <x v="8"/>
    <n v="27578"/>
    <n v="25663.86"/>
    <n v="27578"/>
    <n v="21023.86"/>
    <n v="0"/>
    <n v="30"/>
    <m/>
    <m/>
    <m/>
    <n v="1113"/>
    <n v="3497"/>
    <m/>
    <m/>
    <m/>
    <n v="0"/>
    <n v="0"/>
    <m/>
    <m/>
    <m/>
    <m/>
    <m/>
    <m/>
    <m/>
    <m/>
    <m/>
    <m/>
    <m/>
    <m/>
  </r>
  <r>
    <x v="11"/>
    <s v="Technical College of the Lowcountry"/>
    <n v="217712"/>
    <x v="8"/>
    <n v="43695"/>
    <n v="45771.450000000004"/>
    <n v="42795"/>
    <n v="34221.450000000004"/>
    <n v="900"/>
    <n v="985"/>
    <m/>
    <m/>
    <m/>
    <n v="6715"/>
    <n v="2192"/>
    <n v="1658"/>
    <m/>
    <m/>
    <n v="0"/>
    <n v="0"/>
    <m/>
    <m/>
    <m/>
    <m/>
    <m/>
    <m/>
    <m/>
    <m/>
    <m/>
    <m/>
    <m/>
    <m/>
  </r>
  <r>
    <x v="11"/>
    <s v="University of South Carolina-Lancaster"/>
    <n v="218672"/>
    <x v="8"/>
    <n v="28528"/>
    <n v="30751"/>
    <n v="27194"/>
    <n v="29988"/>
    <n v="1334"/>
    <n v="763"/>
    <m/>
    <m/>
    <m/>
    <m/>
    <m/>
    <m/>
    <m/>
    <m/>
    <n v="0"/>
    <n v="0"/>
    <m/>
    <m/>
    <m/>
    <m/>
    <m/>
    <m/>
    <m/>
    <m/>
    <m/>
    <m/>
    <m/>
    <m/>
  </r>
  <r>
    <x v="11"/>
    <s v="University of South Carolina-Salkehatchie"/>
    <n v="218681"/>
    <x v="8"/>
    <n v="16570"/>
    <n v="18255"/>
    <n v="16570"/>
    <n v="18255"/>
    <n v="0"/>
    <m/>
    <m/>
    <m/>
    <m/>
    <m/>
    <m/>
    <m/>
    <m/>
    <m/>
    <n v="0"/>
    <n v="0"/>
    <m/>
    <m/>
    <m/>
    <m/>
    <m/>
    <m/>
    <m/>
    <m/>
    <m/>
    <m/>
    <m/>
    <m/>
  </r>
  <r>
    <x v="11"/>
    <s v="University of South Carolina-Sumter"/>
    <n v="218690"/>
    <x v="8"/>
    <n v="24683"/>
    <n v="26103"/>
    <n v="21925"/>
    <n v="23045"/>
    <n v="2758"/>
    <n v="3058"/>
    <m/>
    <m/>
    <m/>
    <m/>
    <m/>
    <m/>
    <m/>
    <m/>
    <n v="0"/>
    <n v="0"/>
    <m/>
    <m/>
    <m/>
    <m/>
    <m/>
    <m/>
    <m/>
    <m/>
    <m/>
    <m/>
    <m/>
    <m/>
  </r>
  <r>
    <x v="11"/>
    <s v="University of South Carolina-Union"/>
    <n v="218706"/>
    <x v="8"/>
    <n v="8229"/>
    <n v="8037"/>
    <n v="6997"/>
    <n v="6709"/>
    <n v="1232"/>
    <n v="1328"/>
    <m/>
    <m/>
    <m/>
    <m/>
    <m/>
    <m/>
    <m/>
    <m/>
    <n v="0"/>
    <n v="0"/>
    <m/>
    <m/>
    <m/>
    <m/>
    <m/>
    <m/>
    <m/>
    <m/>
    <m/>
    <m/>
    <m/>
    <m/>
  </r>
  <r>
    <x v="11"/>
    <s v="Willamsburg Technical College "/>
    <n v="218955"/>
    <x v="8"/>
    <n v="15118"/>
    <n v="14863.079999999998"/>
    <n v="14452"/>
    <n v="13998.079999999998"/>
    <n v="546"/>
    <n v="564"/>
    <n v="120"/>
    <m/>
    <m/>
    <n v="232"/>
    <n v="69"/>
    <m/>
    <m/>
    <m/>
    <n v="0"/>
    <n v="0"/>
    <m/>
    <m/>
    <m/>
    <m/>
    <m/>
    <m/>
    <m/>
    <m/>
    <m/>
    <m/>
    <m/>
    <m/>
  </r>
  <r>
    <x v="11"/>
    <s v="Medical University of South Carolina"/>
    <n v="218335"/>
    <x v="12"/>
    <n v="0"/>
    <n v="0"/>
    <m/>
    <m/>
    <m/>
    <m/>
    <m/>
    <m/>
    <m/>
    <m/>
    <m/>
    <m/>
    <m/>
    <m/>
    <n v="0"/>
    <n v="0"/>
    <m/>
    <m/>
    <m/>
    <m/>
    <m/>
    <m/>
    <m/>
    <m/>
    <m/>
    <m/>
    <m/>
    <m/>
  </r>
  <r>
    <x v="12"/>
    <s v="University of Tennessee, Knoxville"/>
    <n v="221759"/>
    <x v="0"/>
    <n v="0"/>
    <n v="621070"/>
    <m/>
    <n v="536731"/>
    <m/>
    <n v="325"/>
    <m/>
    <m/>
    <m/>
    <n v="899"/>
    <n v="601"/>
    <n v="82213"/>
    <m/>
    <n v="301"/>
    <n v="0"/>
    <n v="122357"/>
    <m/>
    <n v="102435"/>
    <m/>
    <n v="467"/>
    <m/>
    <m/>
    <m/>
    <n v="5870"/>
    <n v="75"/>
    <n v="11855"/>
    <m/>
    <n v="1655"/>
  </r>
  <r>
    <x v="12"/>
    <s v="University of Memphis"/>
    <n v="220862"/>
    <x v="1"/>
    <n v="0"/>
    <n v="400979"/>
    <m/>
    <n v="350268"/>
    <m/>
    <n v="10227"/>
    <m/>
    <m/>
    <m/>
    <n v="25522"/>
    <n v="1690"/>
    <n v="10440"/>
    <m/>
    <n v="2832"/>
    <n v="0"/>
    <n v="76532"/>
    <m/>
    <n v="55822"/>
    <m/>
    <n v="5015"/>
    <m/>
    <m/>
    <m/>
    <n v="6513"/>
    <n v="51"/>
    <n v="1662"/>
    <m/>
    <n v="7469"/>
  </r>
  <r>
    <x v="12"/>
    <s v="East Tennessee State University "/>
    <n v="220075"/>
    <x v="2"/>
    <n v="0"/>
    <n v="295350"/>
    <m/>
    <n v="229165"/>
    <m/>
    <n v="12257"/>
    <m/>
    <m/>
    <m/>
    <n v="29354"/>
    <n v="7222"/>
    <n v="15449"/>
    <m/>
    <n v="1903"/>
    <n v="0"/>
    <n v="40064"/>
    <m/>
    <n v="23630"/>
    <m/>
    <n v="3966"/>
    <m/>
    <m/>
    <m/>
    <n v="8135"/>
    <n v="102"/>
    <n v="1622"/>
    <m/>
    <n v="2609"/>
  </r>
  <r>
    <x v="12"/>
    <s v="Middle Tennessee State University "/>
    <n v="220978"/>
    <x v="2"/>
    <n v="0"/>
    <n v="572170"/>
    <m/>
    <n v="498587"/>
    <m/>
    <n v="9321"/>
    <m/>
    <m/>
    <m/>
    <n v="29075"/>
    <n v="7248"/>
    <n v="24005"/>
    <m/>
    <n v="3934"/>
    <n v="0"/>
    <n v="38342"/>
    <m/>
    <n v="27038"/>
    <m/>
    <n v="2583"/>
    <m/>
    <m/>
    <m/>
    <n v="5425"/>
    <n v="379"/>
    <n v="664"/>
    <m/>
    <n v="2253"/>
  </r>
  <r>
    <x v="12"/>
    <s v="Tennessee State University "/>
    <n v="221838"/>
    <x v="2"/>
    <n v="0"/>
    <n v="182196"/>
    <m/>
    <n v="172656"/>
    <m/>
    <n v="2498"/>
    <m/>
    <m/>
    <m/>
    <n v="6153"/>
    <n v="0"/>
    <n v="560"/>
    <m/>
    <n v="329"/>
    <n v="0"/>
    <n v="31439"/>
    <m/>
    <n v="25449"/>
    <m/>
    <n v="1354"/>
    <m/>
    <m/>
    <m/>
    <n v="1494"/>
    <n v="0"/>
    <n v="140"/>
    <m/>
    <n v="3002"/>
  </r>
  <r>
    <x v="12"/>
    <s v="University of Tennessee at Chattanooga"/>
    <n v="221740"/>
    <x v="2"/>
    <n v="0"/>
    <n v="226572"/>
    <m/>
    <n v="216653"/>
    <m/>
    <n v="5105"/>
    <m/>
    <m/>
    <m/>
    <n v="3120"/>
    <n v="0"/>
    <n v="154"/>
    <m/>
    <n v="1540"/>
    <n v="0"/>
    <n v="25865"/>
    <m/>
    <n v="18882"/>
    <m/>
    <n v="2765"/>
    <m/>
    <m/>
    <m/>
    <n v="2317"/>
    <n v="318"/>
    <n v="0"/>
    <m/>
    <n v="1583"/>
  </r>
  <r>
    <x v="12"/>
    <s v="Austin Peay State University "/>
    <n v="219602"/>
    <x v="3"/>
    <n v="0"/>
    <n v="217042"/>
    <m/>
    <n v="159057"/>
    <m/>
    <n v="21"/>
    <m/>
    <m/>
    <m/>
    <n v="55703"/>
    <n v="39"/>
    <n v="1072"/>
    <m/>
    <n v="1150"/>
    <n v="0"/>
    <n v="13409"/>
    <m/>
    <n v="6314"/>
    <m/>
    <n v="55"/>
    <m/>
    <m/>
    <m/>
    <n v="6932"/>
    <n v="0"/>
    <n v="0"/>
    <m/>
    <n v="108"/>
  </r>
  <r>
    <x v="12"/>
    <s v="Tennessee Technological University "/>
    <n v="221847"/>
    <x v="3"/>
    <n v="0"/>
    <n v="224064"/>
    <m/>
    <n v="189638"/>
    <m/>
    <n v="5895"/>
    <m/>
    <m/>
    <m/>
    <n v="15305"/>
    <n v="0"/>
    <n v="10331"/>
    <m/>
    <n v="2895"/>
    <n v="0"/>
    <n v="31173"/>
    <m/>
    <n v="15646"/>
    <m/>
    <n v="3966"/>
    <m/>
    <m/>
    <m/>
    <n v="8135"/>
    <n v="102"/>
    <n v="1622"/>
    <m/>
    <n v="1702"/>
  </r>
  <r>
    <x v="12"/>
    <s v="University of Tennessee at Martin"/>
    <n v="221768"/>
    <x v="4"/>
    <n v="0"/>
    <n v="184664"/>
    <m/>
    <n v="174088"/>
    <m/>
    <n v="2632"/>
    <m/>
    <m/>
    <m/>
    <n v="6556"/>
    <n v="1143"/>
    <n v="48"/>
    <m/>
    <n v="197"/>
    <n v="0"/>
    <n v="6274"/>
    <m/>
    <n v="2198"/>
    <m/>
    <n v="180"/>
    <m/>
    <m/>
    <m/>
    <n v="3337"/>
    <n v="559"/>
    <n v="0"/>
    <m/>
    <n v="0"/>
  </r>
  <r>
    <x v="12"/>
    <s v="Chattanooga State Technical Community College "/>
    <n v="219824"/>
    <x v="6"/>
    <n v="0"/>
    <n v="160490"/>
    <m/>
    <n v="126914"/>
    <m/>
    <n v="1848"/>
    <m/>
    <m/>
    <m/>
    <n v="23775"/>
    <n v="0"/>
    <n v="7562"/>
    <m/>
    <n v="391"/>
    <n v="0"/>
    <n v="0"/>
    <m/>
    <m/>
    <m/>
    <m/>
    <m/>
    <m/>
    <m/>
    <m/>
    <m/>
    <m/>
    <m/>
    <m/>
  </r>
  <r>
    <x v="12"/>
    <s v="Pellissippi State Technical Community College"/>
    <n v="221643"/>
    <x v="6"/>
    <n v="0"/>
    <n v="182675"/>
    <m/>
    <n v="154692"/>
    <m/>
    <n v="181"/>
    <m/>
    <m/>
    <m/>
    <n v="24025"/>
    <n v="1305"/>
    <n v="2355"/>
    <m/>
    <n v="117"/>
    <n v="0"/>
    <n v="0"/>
    <m/>
    <m/>
    <m/>
    <m/>
    <m/>
    <m/>
    <m/>
    <m/>
    <m/>
    <m/>
    <m/>
    <m/>
  </r>
  <r>
    <x v="12"/>
    <s v="Southwest Tennessee Community College"/>
    <n v="221485"/>
    <x v="6"/>
    <n v="0"/>
    <n v="234454"/>
    <m/>
    <n v="207313"/>
    <m/>
    <n v="3133"/>
    <m/>
    <m/>
    <m/>
    <n v="17860"/>
    <n v="4125"/>
    <n v="1907"/>
    <m/>
    <n v="116"/>
    <n v="0"/>
    <n v="0"/>
    <m/>
    <m/>
    <m/>
    <m/>
    <m/>
    <m/>
    <m/>
    <m/>
    <m/>
    <m/>
    <m/>
    <m/>
  </r>
  <r>
    <x v="12"/>
    <s v="Cleveland State Community College "/>
    <n v="219879"/>
    <x v="7"/>
    <n v="0"/>
    <n v="66225"/>
    <m/>
    <n v="51277"/>
    <m/>
    <n v="462"/>
    <m/>
    <m/>
    <m/>
    <n v="7007"/>
    <n v="2001"/>
    <n v="3060"/>
    <m/>
    <n v="2418"/>
    <n v="0"/>
    <n v="0"/>
    <m/>
    <m/>
    <m/>
    <m/>
    <m/>
    <m/>
    <m/>
    <m/>
    <m/>
    <m/>
    <m/>
    <m/>
  </r>
  <r>
    <x v="12"/>
    <s v="Columbia State Community College "/>
    <n v="219888"/>
    <x v="7"/>
    <n v="0"/>
    <n v="95795"/>
    <m/>
    <n v="70516"/>
    <m/>
    <n v="2905"/>
    <m/>
    <m/>
    <m/>
    <n v="10543"/>
    <n v="5955"/>
    <n v="5751"/>
    <m/>
    <n v="125"/>
    <n v="0"/>
    <n v="0"/>
    <m/>
    <m/>
    <m/>
    <m/>
    <m/>
    <m/>
    <m/>
    <m/>
    <m/>
    <m/>
    <m/>
    <m/>
  </r>
  <r>
    <x v="12"/>
    <s v="Jackson State Community College "/>
    <n v="220400"/>
    <x v="7"/>
    <n v="0"/>
    <n v="92273"/>
    <m/>
    <n v="67603"/>
    <m/>
    <n v="4286"/>
    <m/>
    <m/>
    <m/>
    <n v="11356"/>
    <n v="821"/>
    <n v="8191"/>
    <m/>
    <n v="16"/>
    <n v="0"/>
    <n v="0"/>
    <m/>
    <m/>
    <m/>
    <m/>
    <m/>
    <m/>
    <m/>
    <m/>
    <m/>
    <m/>
    <m/>
    <m/>
  </r>
  <r>
    <x v="12"/>
    <s v="Motlow State Community College "/>
    <n v="221096"/>
    <x v="7"/>
    <n v="0"/>
    <n v="89277"/>
    <m/>
    <n v="72739"/>
    <m/>
    <n v="120"/>
    <m/>
    <m/>
    <m/>
    <n v="11955"/>
    <n v="4165"/>
    <n v="146"/>
    <m/>
    <n v="152"/>
    <n v="0"/>
    <n v="0"/>
    <m/>
    <m/>
    <m/>
    <m/>
    <m/>
    <m/>
    <m/>
    <m/>
    <m/>
    <m/>
    <m/>
    <m/>
  </r>
  <r>
    <x v="12"/>
    <s v="Nashville State Technical Community College"/>
    <n v="221184"/>
    <x v="7"/>
    <n v="0"/>
    <n v="139748"/>
    <m/>
    <n v="111499"/>
    <m/>
    <n v="467"/>
    <m/>
    <m/>
    <m/>
    <n v="26050"/>
    <n v="0"/>
    <n v="1703"/>
    <m/>
    <n v="29"/>
    <n v="0"/>
    <n v="0"/>
    <m/>
    <m/>
    <m/>
    <m/>
    <m/>
    <m/>
    <m/>
    <m/>
    <m/>
    <m/>
    <m/>
    <m/>
  </r>
  <r>
    <x v="12"/>
    <s v="Northeast State Technical Community College"/>
    <n v="221908"/>
    <x v="7"/>
    <n v="0"/>
    <n v="111313"/>
    <m/>
    <n v="93237"/>
    <m/>
    <n v="423"/>
    <m/>
    <m/>
    <m/>
    <n v="6593"/>
    <n v="2731"/>
    <n v="8306"/>
    <m/>
    <n v="23"/>
    <n v="0"/>
    <n v="0"/>
    <m/>
    <m/>
    <m/>
    <m/>
    <m/>
    <m/>
    <m/>
    <m/>
    <m/>
    <m/>
    <m/>
    <m/>
  </r>
  <r>
    <x v="12"/>
    <s v="Roane State Community College "/>
    <n v="221397"/>
    <x v="7"/>
    <n v="0"/>
    <n v="113875"/>
    <m/>
    <n v="87729"/>
    <m/>
    <n v="1518"/>
    <m/>
    <m/>
    <m/>
    <n v="16851"/>
    <n v="6173"/>
    <n v="1530"/>
    <m/>
    <n v="74"/>
    <n v="0"/>
    <n v="0"/>
    <m/>
    <m/>
    <m/>
    <m/>
    <m/>
    <m/>
    <m/>
    <m/>
    <m/>
    <m/>
    <m/>
    <m/>
  </r>
  <r>
    <x v="12"/>
    <s v="Volunteer State Community College "/>
    <n v="222053"/>
    <x v="7"/>
    <n v="0"/>
    <n v="143504"/>
    <m/>
    <n v="106135"/>
    <m/>
    <n v="3764"/>
    <m/>
    <m/>
    <m/>
    <n v="23153"/>
    <n v="679"/>
    <n v="9537"/>
    <m/>
    <n v="236"/>
    <n v="0"/>
    <n v="0"/>
    <m/>
    <m/>
    <m/>
    <m/>
    <m/>
    <m/>
    <m/>
    <m/>
    <m/>
    <m/>
    <m/>
    <m/>
  </r>
  <r>
    <x v="12"/>
    <s v="Walters State Community College "/>
    <n v="222062"/>
    <x v="7"/>
    <n v="0"/>
    <n v="124785"/>
    <m/>
    <n v="95276"/>
    <m/>
    <n v="2081"/>
    <m/>
    <m/>
    <m/>
    <n v="13781"/>
    <n v="5365"/>
    <n v="8254"/>
    <m/>
    <n v="28"/>
    <n v="0"/>
    <n v="0"/>
    <m/>
    <m/>
    <m/>
    <m/>
    <m/>
    <m/>
    <m/>
    <m/>
    <m/>
    <m/>
    <m/>
    <m/>
  </r>
  <r>
    <x v="12"/>
    <s v="Dyersburg State Community College "/>
    <n v="220057"/>
    <x v="8"/>
    <n v="0"/>
    <n v="51542"/>
    <m/>
    <n v="39935"/>
    <m/>
    <n v="54"/>
    <m/>
    <m/>
    <m/>
    <n v="7381"/>
    <n v="222"/>
    <n v="3686"/>
    <m/>
    <n v="264"/>
    <n v="0"/>
    <n v="0"/>
    <m/>
    <m/>
    <m/>
    <m/>
    <m/>
    <m/>
    <m/>
    <m/>
    <m/>
    <m/>
    <m/>
    <m/>
  </r>
  <r>
    <x v="12"/>
    <s v="Tennessee Technology Center at Athens"/>
    <n v="219596"/>
    <x v="10"/>
    <n v="210660"/>
    <n v="254328"/>
    <n v="210660"/>
    <n v="254328"/>
    <m/>
    <m/>
    <m/>
    <m/>
    <m/>
    <m/>
    <m/>
    <m/>
    <m/>
    <m/>
    <n v="0"/>
    <n v="0"/>
    <m/>
    <m/>
    <m/>
    <m/>
    <m/>
    <m/>
    <m/>
    <m/>
    <m/>
    <m/>
    <m/>
    <m/>
  </r>
  <r>
    <x v="12"/>
    <s v="Tennessee Technology Center at Chattanooga"/>
    <s v="219824B"/>
    <x v="10"/>
    <n v="694445"/>
    <n v="796409"/>
    <n v="694445"/>
    <n v="796409"/>
    <m/>
    <m/>
    <m/>
    <m/>
    <m/>
    <m/>
    <m/>
    <m/>
    <m/>
    <m/>
    <n v="0"/>
    <n v="0"/>
    <m/>
    <m/>
    <m/>
    <m/>
    <m/>
    <m/>
    <m/>
    <m/>
    <m/>
    <m/>
    <m/>
    <m/>
  </r>
  <r>
    <x v="12"/>
    <s v="Tennessee Technology Center at Covington"/>
    <n v="219921"/>
    <x v="10"/>
    <n v="127326"/>
    <n v="161279"/>
    <n v="127326"/>
    <n v="161279"/>
    <m/>
    <m/>
    <m/>
    <m/>
    <m/>
    <m/>
    <m/>
    <m/>
    <m/>
    <m/>
    <n v="0"/>
    <n v="0"/>
    <m/>
    <m/>
    <m/>
    <m/>
    <m/>
    <m/>
    <m/>
    <m/>
    <m/>
    <m/>
    <m/>
    <m/>
  </r>
  <r>
    <x v="12"/>
    <s v="Tennessee Technology Center at Crossville"/>
    <n v="221591"/>
    <x v="10"/>
    <n v="300519"/>
    <n v="334985"/>
    <n v="300519"/>
    <n v="334985"/>
    <m/>
    <m/>
    <m/>
    <m/>
    <m/>
    <m/>
    <m/>
    <m/>
    <m/>
    <m/>
    <n v="0"/>
    <n v="0"/>
    <m/>
    <m/>
    <m/>
    <m/>
    <m/>
    <m/>
    <m/>
    <m/>
    <m/>
    <m/>
    <m/>
    <m/>
  </r>
  <r>
    <x v="12"/>
    <s v="Tennessee Technology Center at Crump"/>
    <n v="221430"/>
    <x v="10"/>
    <n v="227991"/>
    <n v="232332"/>
    <n v="227991"/>
    <n v="232332"/>
    <m/>
    <m/>
    <m/>
    <m/>
    <m/>
    <m/>
    <m/>
    <m/>
    <m/>
    <m/>
    <n v="0"/>
    <n v="0"/>
    <m/>
    <m/>
    <m/>
    <m/>
    <m/>
    <m/>
    <m/>
    <m/>
    <m/>
    <m/>
    <m/>
    <m/>
  </r>
  <r>
    <x v="12"/>
    <s v="Tennessee Technology Center at Dickson"/>
    <n v="219994"/>
    <x v="10"/>
    <n v="425190"/>
    <n v="455012"/>
    <n v="425190"/>
    <n v="455012"/>
    <m/>
    <m/>
    <m/>
    <m/>
    <m/>
    <m/>
    <m/>
    <m/>
    <m/>
    <m/>
    <n v="0"/>
    <n v="0"/>
    <m/>
    <m/>
    <m/>
    <m/>
    <m/>
    <m/>
    <m/>
    <m/>
    <m/>
    <m/>
    <m/>
    <m/>
  </r>
  <r>
    <x v="12"/>
    <s v="Tennessee Technology Center at Elizabethton"/>
    <n v="220127"/>
    <x v="10"/>
    <n v="437267"/>
    <n v="469991"/>
    <n v="437267"/>
    <n v="469991"/>
    <m/>
    <m/>
    <m/>
    <m/>
    <m/>
    <m/>
    <m/>
    <m/>
    <m/>
    <m/>
    <n v="0"/>
    <n v="0"/>
    <m/>
    <m/>
    <m/>
    <m/>
    <m/>
    <m/>
    <m/>
    <m/>
    <m/>
    <m/>
    <m/>
    <m/>
  </r>
  <r>
    <x v="12"/>
    <s v="Tennessee Technology Center at Harriman"/>
    <n v="220251"/>
    <x v="10"/>
    <n v="188332"/>
    <n v="224374"/>
    <n v="188332"/>
    <n v="224374"/>
    <m/>
    <m/>
    <m/>
    <m/>
    <m/>
    <m/>
    <m/>
    <m/>
    <m/>
    <m/>
    <n v="0"/>
    <n v="0"/>
    <m/>
    <m/>
    <m/>
    <m/>
    <m/>
    <m/>
    <m/>
    <m/>
    <m/>
    <m/>
    <m/>
    <m/>
  </r>
  <r>
    <x v="12"/>
    <s v="Tennessee Technology Center at Hartsville"/>
    <n v="220279"/>
    <x v="10"/>
    <n v="205269"/>
    <n v="267815"/>
    <n v="205269"/>
    <n v="267815"/>
    <m/>
    <m/>
    <m/>
    <m/>
    <m/>
    <m/>
    <m/>
    <m/>
    <m/>
    <m/>
    <n v="0"/>
    <n v="0"/>
    <m/>
    <m/>
    <m/>
    <m/>
    <m/>
    <m/>
    <m/>
    <m/>
    <m/>
    <m/>
    <m/>
    <m/>
  </r>
  <r>
    <x v="12"/>
    <s v="Tennessee Technology Center at Hohenwald"/>
    <n v="220321"/>
    <x v="10"/>
    <n v="369845"/>
    <n v="378894"/>
    <n v="369845"/>
    <n v="378894"/>
    <m/>
    <m/>
    <m/>
    <m/>
    <m/>
    <m/>
    <m/>
    <m/>
    <m/>
    <m/>
    <n v="0"/>
    <n v="0"/>
    <m/>
    <m/>
    <m/>
    <m/>
    <m/>
    <m/>
    <m/>
    <m/>
    <m/>
    <m/>
    <m/>
    <m/>
  </r>
  <r>
    <x v="12"/>
    <s v="Tennessee Technology Center at Jacksboro"/>
    <n v="220394"/>
    <x v="10"/>
    <n v="146607"/>
    <n v="157941"/>
    <n v="146607"/>
    <n v="157941"/>
    <m/>
    <m/>
    <m/>
    <m/>
    <m/>
    <m/>
    <m/>
    <m/>
    <m/>
    <m/>
    <n v="0"/>
    <n v="0"/>
    <m/>
    <m/>
    <m/>
    <m/>
    <m/>
    <m/>
    <m/>
    <m/>
    <m/>
    <m/>
    <m/>
    <m/>
  </r>
  <r>
    <x v="12"/>
    <s v="Tennessee Technology Center at Jackson"/>
    <n v="221616"/>
    <x v="10"/>
    <n v="484708"/>
    <n v="531995"/>
    <n v="484708"/>
    <n v="531995"/>
    <m/>
    <m/>
    <m/>
    <m/>
    <m/>
    <m/>
    <m/>
    <m/>
    <m/>
    <m/>
    <n v="0"/>
    <n v="0"/>
    <m/>
    <m/>
    <m/>
    <m/>
    <m/>
    <m/>
    <m/>
    <m/>
    <m/>
    <m/>
    <m/>
    <m/>
  </r>
  <r>
    <x v="12"/>
    <s v="Tennessee Technology Center at Knoxville"/>
    <n v="221625"/>
    <x v="10"/>
    <n v="486821"/>
    <n v="597906"/>
    <n v="486821"/>
    <n v="597906"/>
    <m/>
    <m/>
    <m/>
    <m/>
    <m/>
    <m/>
    <m/>
    <m/>
    <m/>
    <m/>
    <n v="0"/>
    <n v="0"/>
    <m/>
    <m/>
    <m/>
    <m/>
    <m/>
    <m/>
    <m/>
    <m/>
    <m/>
    <m/>
    <m/>
    <m/>
  </r>
  <r>
    <x v="12"/>
    <s v="Tennessee Technology Center at Livingston"/>
    <n v="220640"/>
    <x v="10"/>
    <n v="394660"/>
    <n v="424853"/>
    <n v="394660"/>
    <n v="424853"/>
    <m/>
    <m/>
    <m/>
    <m/>
    <m/>
    <m/>
    <m/>
    <m/>
    <m/>
    <m/>
    <n v="0"/>
    <n v="0"/>
    <m/>
    <m/>
    <m/>
    <m/>
    <m/>
    <m/>
    <m/>
    <m/>
    <m/>
    <m/>
    <m/>
    <m/>
  </r>
  <r>
    <x v="12"/>
    <s v="Tennessee Technology Center at McKenzie"/>
    <n v="220756"/>
    <x v="10"/>
    <n v="240404"/>
    <n v="255342"/>
    <n v="240404"/>
    <n v="255342"/>
    <m/>
    <m/>
    <m/>
    <m/>
    <m/>
    <m/>
    <m/>
    <m/>
    <m/>
    <m/>
    <n v="0"/>
    <n v="0"/>
    <m/>
    <m/>
    <m/>
    <m/>
    <m/>
    <m/>
    <m/>
    <m/>
    <m/>
    <m/>
    <m/>
    <m/>
  </r>
  <r>
    <x v="12"/>
    <s v="Tennessee Technology Center at McMinnville"/>
    <n v="221607"/>
    <x v="10"/>
    <n v="248363"/>
    <n v="232095"/>
    <n v="248363"/>
    <n v="232095"/>
    <m/>
    <m/>
    <m/>
    <m/>
    <m/>
    <m/>
    <m/>
    <m/>
    <m/>
    <m/>
    <n v="0"/>
    <n v="0"/>
    <m/>
    <m/>
    <m/>
    <m/>
    <m/>
    <m/>
    <m/>
    <m/>
    <m/>
    <m/>
    <m/>
    <m/>
  </r>
  <r>
    <x v="12"/>
    <s v="Tennessee Technology Center at Memphis"/>
    <n v="220853"/>
    <x v="10"/>
    <n v="772816"/>
    <n v="728134"/>
    <n v="772816"/>
    <n v="728134"/>
    <m/>
    <m/>
    <m/>
    <m/>
    <m/>
    <m/>
    <m/>
    <m/>
    <m/>
    <m/>
    <n v="0"/>
    <n v="0"/>
    <m/>
    <m/>
    <m/>
    <m/>
    <m/>
    <m/>
    <m/>
    <m/>
    <m/>
    <m/>
    <m/>
    <m/>
  </r>
  <r>
    <x v="12"/>
    <s v="Tennessee Technology Center at Morristown"/>
    <n v="221050"/>
    <x v="10"/>
    <n v="559354"/>
    <n v="552425"/>
    <n v="559354"/>
    <n v="552425"/>
    <m/>
    <m/>
    <m/>
    <m/>
    <m/>
    <m/>
    <m/>
    <m/>
    <m/>
    <m/>
    <n v="0"/>
    <n v="0"/>
    <m/>
    <m/>
    <m/>
    <m/>
    <m/>
    <m/>
    <m/>
    <m/>
    <m/>
    <m/>
    <m/>
    <m/>
  </r>
  <r>
    <x v="12"/>
    <s v="Tennessee Technology Center at Murfreesboro"/>
    <n v="221102"/>
    <x v="10"/>
    <n v="372138"/>
    <n v="400942"/>
    <n v="372138"/>
    <n v="400942"/>
    <m/>
    <m/>
    <m/>
    <m/>
    <m/>
    <m/>
    <m/>
    <m/>
    <m/>
    <m/>
    <n v="0"/>
    <n v="0"/>
    <m/>
    <m/>
    <m/>
    <m/>
    <m/>
    <m/>
    <m/>
    <m/>
    <m/>
    <m/>
    <m/>
    <m/>
  </r>
  <r>
    <x v="12"/>
    <s v="Tennessee Technology Center at Nashville"/>
    <n v="248925"/>
    <x v="10"/>
    <n v="574789"/>
    <n v="641647"/>
    <n v="574789"/>
    <n v="641647"/>
    <m/>
    <m/>
    <m/>
    <m/>
    <m/>
    <m/>
    <m/>
    <m/>
    <m/>
    <m/>
    <n v="0"/>
    <n v="0"/>
    <m/>
    <m/>
    <m/>
    <m/>
    <m/>
    <m/>
    <m/>
    <m/>
    <m/>
    <m/>
    <m/>
    <m/>
  </r>
  <r>
    <x v="12"/>
    <s v="Tennessee Technology Center at Newbern"/>
    <n v="221236"/>
    <x v="10"/>
    <n v="188774"/>
    <n v="201750"/>
    <n v="188774"/>
    <n v="201750"/>
    <m/>
    <m/>
    <m/>
    <m/>
    <m/>
    <m/>
    <m/>
    <m/>
    <m/>
    <m/>
    <n v="0"/>
    <n v="0"/>
    <m/>
    <m/>
    <m/>
    <m/>
    <m/>
    <m/>
    <m/>
    <m/>
    <m/>
    <m/>
    <m/>
    <m/>
  </r>
  <r>
    <x v="12"/>
    <s v="Tennessee Technology Center at Oneida"/>
    <n v="221582"/>
    <x v="10"/>
    <n v="234014"/>
    <n v="239241"/>
    <n v="234014"/>
    <n v="239241"/>
    <m/>
    <m/>
    <m/>
    <m/>
    <m/>
    <m/>
    <m/>
    <m/>
    <m/>
    <m/>
    <n v="0"/>
    <n v="0"/>
    <m/>
    <m/>
    <m/>
    <m/>
    <m/>
    <m/>
    <m/>
    <m/>
    <m/>
    <m/>
    <m/>
    <m/>
  </r>
  <r>
    <x v="12"/>
    <s v="Tennessee Technology Center at Paris"/>
    <n v="221281"/>
    <x v="10"/>
    <n v="326287"/>
    <n v="331689"/>
    <n v="326287"/>
    <n v="331689"/>
    <m/>
    <m/>
    <m/>
    <m/>
    <m/>
    <m/>
    <m/>
    <m/>
    <m/>
    <m/>
    <n v="0"/>
    <n v="0"/>
    <m/>
    <m/>
    <m/>
    <m/>
    <m/>
    <m/>
    <m/>
    <m/>
    <m/>
    <m/>
    <m/>
    <m/>
  </r>
  <r>
    <x v="12"/>
    <s v="Tennessee Technology Center at Pulaski"/>
    <n v="221333"/>
    <x v="10"/>
    <n v="275431"/>
    <n v="269782"/>
    <n v="275431"/>
    <n v="269782"/>
    <m/>
    <m/>
    <m/>
    <m/>
    <m/>
    <m/>
    <m/>
    <m/>
    <m/>
    <m/>
    <n v="0"/>
    <n v="0"/>
    <m/>
    <m/>
    <m/>
    <m/>
    <m/>
    <m/>
    <m/>
    <m/>
    <m/>
    <m/>
    <m/>
    <m/>
  </r>
  <r>
    <x v="12"/>
    <s v="Tennessee Technology Center at Ripley"/>
    <n v="221388"/>
    <x v="10"/>
    <n v="149775"/>
    <n v="159885"/>
    <n v="149775"/>
    <n v="159885"/>
    <m/>
    <m/>
    <m/>
    <m/>
    <m/>
    <m/>
    <m/>
    <m/>
    <m/>
    <m/>
    <n v="0"/>
    <n v="0"/>
    <m/>
    <m/>
    <m/>
    <m/>
    <m/>
    <m/>
    <m/>
    <m/>
    <m/>
    <m/>
    <m/>
    <m/>
  </r>
  <r>
    <x v="12"/>
    <s v="Tennessee Technology Center at Shelbyville"/>
    <n v="221494"/>
    <x v="10"/>
    <n v="454814"/>
    <n v="465230"/>
    <n v="454814"/>
    <n v="465230"/>
    <m/>
    <m/>
    <m/>
    <m/>
    <m/>
    <m/>
    <m/>
    <m/>
    <m/>
    <m/>
    <n v="0"/>
    <n v="0"/>
    <m/>
    <m/>
    <m/>
    <m/>
    <m/>
    <m/>
    <m/>
    <m/>
    <m/>
    <m/>
    <m/>
    <m/>
  </r>
  <r>
    <x v="12"/>
    <s v="Tennessee Technology Center at Whiteville"/>
    <n v="221634"/>
    <x v="10"/>
    <n v="158188"/>
    <n v="167254"/>
    <n v="158188"/>
    <n v="167254"/>
    <m/>
    <m/>
    <m/>
    <m/>
    <m/>
    <m/>
    <m/>
    <m/>
    <m/>
    <m/>
    <n v="0"/>
    <n v="0"/>
    <m/>
    <m/>
    <m/>
    <m/>
    <m/>
    <m/>
    <m/>
    <m/>
    <m/>
    <m/>
    <m/>
    <m/>
  </r>
  <r>
    <x v="12"/>
    <s v="University of Tennessee Health Science Center"/>
    <n v="221704"/>
    <x v="12"/>
    <n v="0"/>
    <n v="0"/>
    <m/>
    <m/>
    <m/>
    <m/>
    <m/>
    <m/>
    <m/>
    <m/>
    <m/>
    <m/>
    <m/>
    <m/>
    <n v="0"/>
    <n v="0"/>
    <m/>
    <m/>
    <m/>
    <m/>
    <m/>
    <m/>
    <m/>
    <m/>
    <m/>
    <m/>
    <m/>
    <m/>
  </r>
  <r>
    <x v="13"/>
    <s v="Texas A &amp; M University "/>
    <n v="228723"/>
    <x v="0"/>
    <n v="1027623"/>
    <n v="1057860"/>
    <n v="997499"/>
    <n v="1026059"/>
    <n v="4465"/>
    <n v="5370"/>
    <n v="23883"/>
    <n v="0"/>
    <n v="1776"/>
    <n v="25153"/>
    <n v="0"/>
    <n v="1278"/>
    <m/>
    <m/>
    <n v="159703"/>
    <n v="167925"/>
    <n v="148718"/>
    <n v="153221"/>
    <n v="2651"/>
    <n v="3055"/>
    <n v="7507"/>
    <n v="260"/>
    <n v="567"/>
    <n v="11349"/>
    <n v="159"/>
    <n v="141"/>
    <m/>
    <m/>
  </r>
  <r>
    <x v="13"/>
    <s v="Texas Tech University "/>
    <n v="229115"/>
    <x v="0"/>
    <n v="649666"/>
    <n v="650375"/>
    <n v="623614"/>
    <n v="614182"/>
    <n v="4102"/>
    <n v="5432"/>
    <n v="21335"/>
    <n v="591"/>
    <n v="24"/>
    <n v="9269"/>
    <n v="201"/>
    <n v="21291"/>
    <m/>
    <m/>
    <n v="105015"/>
    <n v="105780"/>
    <n v="94771"/>
    <n v="93295"/>
    <n v="1344"/>
    <n v="1253"/>
    <n v="5860"/>
    <n v="2581"/>
    <n v="459"/>
    <n v="7775"/>
    <n v="1343"/>
    <n v="2114"/>
    <m/>
    <m/>
  </r>
  <r>
    <x v="13"/>
    <s v="University of Houston"/>
    <n v="225511"/>
    <x v="0"/>
    <n v="668546"/>
    <n v="690189"/>
    <n v="577008"/>
    <n v="580452"/>
    <n v="3820"/>
    <n v="3882"/>
    <n v="55687"/>
    <n v="336"/>
    <n v="31695"/>
    <n v="54243"/>
    <n v="291"/>
    <n v="51321"/>
    <m/>
    <m/>
    <n v="156906"/>
    <n v="161647"/>
    <n v="149670"/>
    <n v="154499"/>
    <n v="2466"/>
    <n v="1334"/>
    <n v="3831"/>
    <n v="132"/>
    <n v="807"/>
    <n v="5013"/>
    <n v="21"/>
    <n v="780"/>
    <m/>
    <m/>
  </r>
  <r>
    <x v="13"/>
    <s v="University of North Texas"/>
    <n v="227216"/>
    <x v="0"/>
    <n v="718479"/>
    <n v="736053"/>
    <n v="638144"/>
    <n v="649614"/>
    <n v="22451"/>
    <n v="25770"/>
    <n v="57542"/>
    <n v="112"/>
    <n v="230"/>
    <n v="60404"/>
    <n v="156"/>
    <n v="109"/>
    <m/>
    <m/>
    <n v="100446"/>
    <n v="101838"/>
    <n v="66138"/>
    <n v="63146"/>
    <n v="6273"/>
    <n v="9107"/>
    <n v="27570"/>
    <n v="334"/>
    <n v="131"/>
    <n v="29167"/>
    <n v="297"/>
    <n v="121"/>
    <m/>
    <m/>
  </r>
  <r>
    <x v="13"/>
    <s v="University of Texas at Arlington"/>
    <n v="228769"/>
    <x v="0"/>
    <n v="470303"/>
    <n v="465531"/>
    <n v="452055"/>
    <n v="445525"/>
    <n v="3495"/>
    <n v="3731"/>
    <n v="11850"/>
    <n v="315"/>
    <n v="2588"/>
    <n v="13923"/>
    <n v="342"/>
    <n v="2010"/>
    <m/>
    <m/>
    <n v="92844"/>
    <n v="97180"/>
    <n v="76894"/>
    <n v="79623"/>
    <n v="7017"/>
    <n v="8022"/>
    <n v="8330"/>
    <n v="369"/>
    <n v="234"/>
    <n v="8890"/>
    <n v="252"/>
    <n v="393"/>
    <m/>
    <m/>
  </r>
  <r>
    <x v="13"/>
    <s v="University of Texas at Austin"/>
    <n v="228778"/>
    <x v="0"/>
    <n v="1018942"/>
    <n v="1023600"/>
    <n v="1014852"/>
    <n v="1019566"/>
    <n v="4090"/>
    <n v="4034"/>
    <n v="0"/>
    <n v="0"/>
    <n v="0"/>
    <n v="0"/>
    <n v="0"/>
    <n v="0"/>
    <m/>
    <m/>
    <n v="264893"/>
    <n v="262037"/>
    <n v="264696"/>
    <n v="261741"/>
    <n v="197"/>
    <n v="296"/>
    <n v="0"/>
    <n v="0"/>
    <n v="0"/>
    <n v="0"/>
    <n v="0"/>
    <n v="0"/>
    <m/>
    <m/>
  </r>
  <r>
    <x v="13"/>
    <s v="University of Texas at Dallas"/>
    <n v="228787"/>
    <x v="0"/>
    <n v="239842"/>
    <n v="243047"/>
    <n v="238553"/>
    <n v="241380"/>
    <n v="290"/>
    <n v="325"/>
    <n v="999"/>
    <n v="0"/>
    <n v="0"/>
    <n v="1342"/>
    <n v="0"/>
    <n v="0"/>
    <m/>
    <m/>
    <n v="86719"/>
    <n v="95174"/>
    <n v="76563"/>
    <n v="82954"/>
    <n v="382"/>
    <n v="465"/>
    <n v="9774"/>
    <n v="0"/>
    <n v="0"/>
    <n v="11755"/>
    <n v="0"/>
    <n v="0"/>
    <m/>
    <m/>
  </r>
  <r>
    <x v="13"/>
    <s v="Texas Woman's University"/>
    <n v="229179"/>
    <x v="1"/>
    <n v="182053"/>
    <n v="189280"/>
    <n v="151872"/>
    <n v="149696"/>
    <n v="1225"/>
    <n v="1932"/>
    <n v="28956"/>
    <n v="0"/>
    <n v="0"/>
    <n v="37652"/>
    <n v="0"/>
    <n v="0"/>
    <m/>
    <m/>
    <n v="88062"/>
    <n v="87426"/>
    <n v="48326"/>
    <n v="46769"/>
    <n v="1290"/>
    <n v="1779"/>
    <n v="37446"/>
    <n v="1000"/>
    <n v="0"/>
    <n v="38145"/>
    <n v="733"/>
    <n v="0"/>
    <m/>
    <m/>
  </r>
  <r>
    <x v="13"/>
    <s v="University of Texas at El Paso"/>
    <n v="228796"/>
    <x v="1"/>
    <n v="399817"/>
    <n v="406988"/>
    <n v="389286"/>
    <n v="394361"/>
    <n v="5264"/>
    <n v="4465"/>
    <n v="5267"/>
    <n v="0"/>
    <n v="0"/>
    <n v="8162"/>
    <n v="0"/>
    <n v="0"/>
    <m/>
    <m/>
    <n v="47373"/>
    <n v="50383"/>
    <n v="41346"/>
    <n v="43667"/>
    <n v="1166"/>
    <n v="1643"/>
    <n v="4861"/>
    <n v="0"/>
    <n v="0"/>
    <n v="5073"/>
    <n v="0"/>
    <n v="0"/>
    <m/>
    <m/>
  </r>
  <r>
    <x v="13"/>
    <s v="Angelo State University"/>
    <n v="222831"/>
    <x v="2"/>
    <n v="150781"/>
    <n v="146437"/>
    <n v="144664"/>
    <n v="140020"/>
    <n v="246"/>
    <n v="300"/>
    <n v="5870"/>
    <n v="0"/>
    <n v="1"/>
    <n v="6116"/>
    <n v="0"/>
    <n v="1"/>
    <m/>
    <m/>
    <n v="8132"/>
    <n v="9563"/>
    <n v="6841"/>
    <n v="6856"/>
    <n v="0"/>
    <n v="0"/>
    <n v="1291"/>
    <n v="0"/>
    <n v="0"/>
    <n v="2707"/>
    <n v="0"/>
    <n v="0"/>
    <m/>
    <m/>
  </r>
  <r>
    <x v="13"/>
    <s v="Lamar University"/>
    <n v="226091"/>
    <x v="2"/>
    <n v="217838"/>
    <n v="214319"/>
    <n v="200863"/>
    <n v="192738"/>
    <n v="3403"/>
    <n v="3940"/>
    <n v="10079"/>
    <n v="2281"/>
    <n v="1212"/>
    <n v="15379"/>
    <n v="1908"/>
    <n v="354"/>
    <m/>
    <m/>
    <n v="25604"/>
    <n v="78352"/>
    <n v="22798"/>
    <n v="23492"/>
    <n v="3"/>
    <n v="87"/>
    <n v="937"/>
    <n v="3"/>
    <n v="1863"/>
    <n v="1088"/>
    <n v="0"/>
    <n v="53685"/>
    <m/>
    <m/>
  </r>
  <r>
    <x v="13"/>
    <s v="Midwestern State University"/>
    <n v="226833"/>
    <x v="2"/>
    <n v="136923"/>
    <n v="134099"/>
    <n v="120917"/>
    <n v="117724"/>
    <n v="1194"/>
    <n v="1953"/>
    <n v="13786"/>
    <n v="0"/>
    <n v="1026"/>
    <n v="14287"/>
    <n v="0"/>
    <n v="135"/>
    <m/>
    <m/>
    <n v="8740"/>
    <n v="8979"/>
    <n v="6867"/>
    <n v="6941"/>
    <n v="168"/>
    <n v="168"/>
    <n v="1279"/>
    <n v="426"/>
    <n v="0"/>
    <n v="1546"/>
    <n v="324"/>
    <n v="0"/>
    <m/>
    <m/>
  </r>
  <r>
    <x v="13"/>
    <s v="Prairie View A &amp; M University"/>
    <n v="227526"/>
    <x v="2"/>
    <n v="166547"/>
    <n v="170676"/>
    <n v="156488"/>
    <n v="158705"/>
    <n v="9077"/>
    <n v="10963"/>
    <n v="801"/>
    <n v="181"/>
    <n v="0"/>
    <n v="702"/>
    <n v="306"/>
    <n v="0"/>
    <m/>
    <m/>
    <n v="40620"/>
    <n v="37396"/>
    <n v="23857"/>
    <n v="20768"/>
    <n v="12029"/>
    <n v="7457"/>
    <n v="2394"/>
    <n v="2340"/>
    <n v="0"/>
    <n v="7215"/>
    <n v="1956"/>
    <n v="0"/>
    <m/>
    <m/>
  </r>
  <r>
    <x v="13"/>
    <s v="Sam Houston State University "/>
    <n v="227881"/>
    <x v="2"/>
    <n v="393574"/>
    <n v="398130"/>
    <n v="367590"/>
    <n v="376906"/>
    <n v="18420"/>
    <n v="18944"/>
    <n v="7558"/>
    <n v="6"/>
    <n v="0"/>
    <n v="2280"/>
    <n v="0"/>
    <n v="0"/>
    <m/>
    <m/>
    <n v="37189"/>
    <n v="38178"/>
    <n v="14534"/>
    <n v="15902"/>
    <n v="11529"/>
    <n v="9128"/>
    <n v="10811"/>
    <n v="315"/>
    <n v="0"/>
    <n v="12896"/>
    <n v="252"/>
    <n v="0"/>
    <m/>
    <m/>
  </r>
  <r>
    <x v="13"/>
    <s v="Stephen F. Austin State University"/>
    <n v="228431"/>
    <x v="2"/>
    <n v="284625"/>
    <n v="283964"/>
    <n v="263148"/>
    <n v="256846"/>
    <n v="6132"/>
    <n v="6118"/>
    <n v="15318"/>
    <n v="9"/>
    <n v="18"/>
    <n v="20979"/>
    <n v="21"/>
    <n v="0"/>
    <m/>
    <m/>
    <n v="25458"/>
    <n v="26956"/>
    <n v="16358"/>
    <n v="16611"/>
    <n v="3242"/>
    <n v="2577"/>
    <n v="5446"/>
    <n v="346"/>
    <n v="66"/>
    <n v="7440"/>
    <n v="235"/>
    <n v="93"/>
    <m/>
    <m/>
  </r>
  <r>
    <x v="13"/>
    <s v="Sul Ross State University "/>
    <n v="228501"/>
    <x v="2"/>
    <n v="35383"/>
    <n v="34002"/>
    <n v="32539"/>
    <n v="31115"/>
    <n v="11"/>
    <n v="2"/>
    <n v="2665"/>
    <n v="168"/>
    <n v="0"/>
    <n v="2423"/>
    <n v="462"/>
    <n v="0"/>
    <m/>
    <m/>
    <n v="7910"/>
    <n v="8611"/>
    <n v="4832"/>
    <n v="4967"/>
    <n v="0"/>
    <n v="173"/>
    <n v="2673"/>
    <n v="405"/>
    <n v="0"/>
    <n v="3264"/>
    <n v="207"/>
    <n v="0"/>
    <m/>
    <m/>
  </r>
  <r>
    <x v="13"/>
    <s v="Tarleton State University"/>
    <n v="228529"/>
    <x v="2"/>
    <n v="205689"/>
    <n v="202738"/>
    <n v="165742"/>
    <n v="158252"/>
    <n v="28700"/>
    <n v="32618"/>
    <n v="7208"/>
    <n v="4039"/>
    <n v="0"/>
    <n v="8901"/>
    <n v="2967"/>
    <n v="0"/>
    <m/>
    <m/>
    <n v="27202"/>
    <n v="28130"/>
    <n v="7106"/>
    <n v="6814"/>
    <n v="15650"/>
    <n v="15590"/>
    <n v="4080"/>
    <n v="366"/>
    <n v="0"/>
    <n v="5351"/>
    <n v="375"/>
    <n v="0"/>
    <m/>
    <m/>
  </r>
  <r>
    <x v="13"/>
    <s v="Texas A &amp; M University - Commerce"/>
    <n v="224554"/>
    <x v="2"/>
    <n v="138258"/>
    <n v="129976"/>
    <n v="106186"/>
    <n v="95384"/>
    <n v="15625"/>
    <n v="14559"/>
    <n v="16009"/>
    <n v="438"/>
    <n v="0"/>
    <n v="19622"/>
    <n v="411"/>
    <n v="0"/>
    <m/>
    <m/>
    <n v="58769"/>
    <n v="62038"/>
    <n v="19803"/>
    <n v="18450"/>
    <n v="20832"/>
    <n v="19689"/>
    <n v="16175"/>
    <n v="1959"/>
    <n v="0"/>
    <n v="22753"/>
    <n v="1146"/>
    <n v="0"/>
    <m/>
    <m/>
  </r>
  <r>
    <x v="13"/>
    <s v="Texas A &amp; M University-Corpus Christi "/>
    <n v="224147"/>
    <x v="2"/>
    <n v="190134"/>
    <n v="187685"/>
    <n v="185783"/>
    <n v="187631"/>
    <n v="80"/>
    <n v="0"/>
    <n v="3943"/>
    <n v="328"/>
    <n v="0"/>
    <n v="54"/>
    <n v="0"/>
    <n v="0"/>
    <m/>
    <m/>
    <n v="25616"/>
    <n v="25473"/>
    <n v="23052"/>
    <n v="25137"/>
    <n v="0"/>
    <n v="0"/>
    <n v="2564"/>
    <n v="0"/>
    <n v="0"/>
    <n v="336"/>
    <n v="0"/>
    <n v="0"/>
    <m/>
    <m/>
  </r>
  <r>
    <x v="13"/>
    <s v="Texas A &amp; M University-Kingsville"/>
    <n v="228705"/>
    <x v="2"/>
    <n v="128452"/>
    <n v="135720"/>
    <n v="108111"/>
    <n v="109346"/>
    <n v="17554"/>
    <n v="24398"/>
    <n v="1308"/>
    <n v="1479"/>
    <n v="0"/>
    <n v="939"/>
    <n v="1037"/>
    <n v="0"/>
    <m/>
    <m/>
    <n v="29698"/>
    <n v="28944"/>
    <n v="24514"/>
    <n v="23856"/>
    <n v="2334"/>
    <n v="2262"/>
    <n v="2364"/>
    <n v="486"/>
    <n v="0"/>
    <n v="2469"/>
    <n v="357"/>
    <n v="0"/>
    <m/>
    <m/>
  </r>
  <r>
    <x v="13"/>
    <s v="Texas Southern University "/>
    <n v="229063"/>
    <x v="2"/>
    <n v="198112"/>
    <n v="180763"/>
    <n v="197746"/>
    <n v="180517"/>
    <n v="366"/>
    <n v="246"/>
    <n v="0"/>
    <n v="0"/>
    <n v="0"/>
    <n v="0"/>
    <n v="0"/>
    <n v="0"/>
    <m/>
    <m/>
    <n v="46495"/>
    <n v="44093"/>
    <n v="46102"/>
    <n v="43745"/>
    <n v="393"/>
    <n v="348"/>
    <n v="0"/>
    <n v="0"/>
    <n v="0"/>
    <n v="0"/>
    <n v="0"/>
    <n v="0"/>
    <m/>
    <m/>
  </r>
  <r>
    <x v="13"/>
    <s v="Texas State University - San Marcos "/>
    <n v="228459"/>
    <x v="2"/>
    <n v="649376"/>
    <n v="661570"/>
    <n v="624934"/>
    <n v="636701"/>
    <n v="18406"/>
    <n v="18549"/>
    <n v="5535"/>
    <n v="30"/>
    <n v="471"/>
    <n v="5873"/>
    <n v="114"/>
    <n v="333"/>
    <m/>
    <m/>
    <n v="62746"/>
    <n v="65817"/>
    <n v="49342"/>
    <n v="51428"/>
    <n v="10392"/>
    <n v="9872"/>
    <n v="2805"/>
    <n v="108"/>
    <n v="99"/>
    <n v="3815"/>
    <n v="645"/>
    <n v="57"/>
    <m/>
    <m/>
  </r>
  <r>
    <x v="13"/>
    <s v="University of Houston-Clear Lake "/>
    <n v="225414"/>
    <x v="2"/>
    <n v="92721"/>
    <n v="93022"/>
    <n v="82431"/>
    <n v="79042"/>
    <n v="3582"/>
    <n v="4392"/>
    <n v="6708"/>
    <n v="0"/>
    <n v="0"/>
    <n v="9588"/>
    <n v="0"/>
    <n v="0"/>
    <m/>
    <m/>
    <n v="53921"/>
    <n v="54869"/>
    <n v="34674"/>
    <n v="34207"/>
    <n v="7732"/>
    <n v="7544"/>
    <n v="11515"/>
    <n v="0"/>
    <n v="0"/>
    <n v="13118"/>
    <n v="0"/>
    <n v="0"/>
    <m/>
    <m/>
  </r>
  <r>
    <x v="13"/>
    <s v="University of Texas at San Antonio"/>
    <n v="229027"/>
    <x v="2"/>
    <n v="599784"/>
    <n v="606965"/>
    <n v="579529"/>
    <n v="587753"/>
    <n v="2614"/>
    <n v="2881"/>
    <n v="11578"/>
    <n v="6063"/>
    <n v="0"/>
    <n v="12044"/>
    <n v="4287"/>
    <n v="0"/>
    <m/>
    <m/>
    <n v="54844"/>
    <n v="52808"/>
    <n v="53154"/>
    <n v="51552"/>
    <n v="603"/>
    <n v="510"/>
    <n v="754"/>
    <n v="333"/>
    <n v="0"/>
    <n v="701"/>
    <n v="45"/>
    <n v="0"/>
    <m/>
    <m/>
  </r>
  <r>
    <x v="13"/>
    <s v="University of Texas at Tyler"/>
    <n v="228802"/>
    <x v="2"/>
    <n v="128633"/>
    <n v="129912"/>
    <n v="115195"/>
    <n v="115166"/>
    <n v="1654"/>
    <n v="1769"/>
    <n v="4223"/>
    <n v="7561"/>
    <n v="0"/>
    <n v="5743"/>
    <n v="7234"/>
    <n v="0"/>
    <m/>
    <m/>
    <n v="12938"/>
    <n v="13295"/>
    <n v="8657"/>
    <n v="9005"/>
    <n v="369"/>
    <n v="444"/>
    <n v="3459"/>
    <n v="453"/>
    <n v="0"/>
    <n v="3507"/>
    <n v="339"/>
    <n v="0"/>
    <m/>
    <m/>
  </r>
  <r>
    <x v="13"/>
    <s v="University of Texas-Pan American"/>
    <n v="227368"/>
    <x v="2"/>
    <n v="409206"/>
    <n v="408050"/>
    <n v="397734"/>
    <n v="390138"/>
    <n v="2022"/>
    <n v="3444"/>
    <n v="8982"/>
    <n v="468"/>
    <n v="0"/>
    <n v="14189"/>
    <n v="279"/>
    <n v="0"/>
    <m/>
    <m/>
    <n v="35362"/>
    <n v="36439"/>
    <n v="31147"/>
    <n v="33225"/>
    <n v="0"/>
    <n v="0"/>
    <n v="4215"/>
    <n v="0"/>
    <n v="0"/>
    <n v="3214"/>
    <n v="0"/>
    <n v="0"/>
    <m/>
    <m/>
  </r>
  <r>
    <x v="13"/>
    <s v="West Texas A &amp; M University"/>
    <n v="229814"/>
    <x v="2"/>
    <n v="155411"/>
    <n v="156933"/>
    <n v="128964"/>
    <n v="130067"/>
    <n v="36"/>
    <n v="216"/>
    <n v="26411"/>
    <n v="0"/>
    <n v="0"/>
    <n v="26650"/>
    <n v="0"/>
    <n v="0"/>
    <m/>
    <m/>
    <n v="22534"/>
    <n v="20354"/>
    <n v="13718"/>
    <n v="11545"/>
    <n v="627"/>
    <n v="393"/>
    <n v="8189"/>
    <n v="0"/>
    <n v="0"/>
    <n v="8416"/>
    <n v="0"/>
    <n v="0"/>
    <m/>
    <m/>
  </r>
  <r>
    <x v="13"/>
    <s v="Texas A &amp; M -Texarkana"/>
    <n v="224545"/>
    <x v="3"/>
    <n v="22448"/>
    <n v="22879"/>
    <n v="15374"/>
    <n v="16026"/>
    <n v="3750"/>
    <n v="3348"/>
    <n v="3156"/>
    <n v="168"/>
    <n v="0"/>
    <n v="3291"/>
    <n v="214"/>
    <n v="0"/>
    <m/>
    <m/>
    <n v="9093"/>
    <n v="9259"/>
    <n v="6672"/>
    <n v="6532"/>
    <n v="507"/>
    <n v="864"/>
    <n v="1914"/>
    <n v="0"/>
    <n v="0"/>
    <n v="1863"/>
    <n v="0"/>
    <n v="0"/>
    <m/>
    <m/>
  </r>
  <r>
    <x v="13"/>
    <s v="Texas A&amp;M International University"/>
    <n v="226152"/>
    <x v="3"/>
    <n v="99950"/>
    <n v="109640"/>
    <n v="94842"/>
    <n v="103760"/>
    <n v="0"/>
    <n v="0"/>
    <n v="5030"/>
    <n v="78"/>
    <n v="0"/>
    <n v="5880"/>
    <n v="0"/>
    <n v="0"/>
    <m/>
    <m/>
    <n v="14959"/>
    <n v="15474"/>
    <n v="12441"/>
    <n v="11985"/>
    <n v="0"/>
    <n v="0"/>
    <n v="2299"/>
    <n v="219"/>
    <n v="0"/>
    <n v="3393"/>
    <n v="96"/>
    <n v="0"/>
    <m/>
    <m/>
  </r>
  <r>
    <x v="13"/>
    <s v="University of Texas at Brownsville"/>
    <n v="227377"/>
    <x v="3"/>
    <n v="75777"/>
    <n v="87159"/>
    <n v="63885"/>
    <n v="75373"/>
    <n v="991"/>
    <n v="0"/>
    <n v="10901"/>
    <n v="0"/>
    <n v="0"/>
    <n v="11786"/>
    <n v="0"/>
    <n v="0"/>
    <m/>
    <m/>
    <n v="10086"/>
    <n v="10763"/>
    <n v="8160"/>
    <n v="8942"/>
    <n v="0"/>
    <n v="0"/>
    <n v="1926"/>
    <n v="0"/>
    <n v="0"/>
    <n v="1821"/>
    <n v="0"/>
    <n v="0"/>
    <m/>
    <m/>
  </r>
  <r>
    <x v="13"/>
    <s v="University of Texas of the Permian Basin"/>
    <n v="229018"/>
    <x v="3"/>
    <n v="69268"/>
    <n v="68300"/>
    <n v="57593"/>
    <n v="57568"/>
    <n v="1542"/>
    <n v="1230"/>
    <n v="9992"/>
    <n v="141"/>
    <n v="0"/>
    <n v="9019"/>
    <n v="483"/>
    <n v="0"/>
    <m/>
    <m/>
    <n v="8433"/>
    <n v="9747"/>
    <n v="5400"/>
    <n v="6420"/>
    <n v="117"/>
    <n v="105"/>
    <n v="2916"/>
    <n v="0"/>
    <n v="0"/>
    <n v="3222"/>
    <n v="0"/>
    <n v="0"/>
    <m/>
    <m/>
  </r>
  <r>
    <x v="13"/>
    <s v="Sul Ross State University-Rio Grande College"/>
    <s v="228501B"/>
    <x v="4"/>
    <n v="16395"/>
    <n v="15716"/>
    <n v="14196"/>
    <n v="9203"/>
    <n v="0"/>
    <n v="0"/>
    <n v="831"/>
    <n v="1368"/>
    <n v="0"/>
    <n v="2415"/>
    <n v="4098"/>
    <n v="0"/>
    <m/>
    <m/>
    <n v="3072"/>
    <n v="2907"/>
    <n v="2952"/>
    <n v="2379"/>
    <n v="0"/>
    <n v="0"/>
    <n v="111"/>
    <n v="9"/>
    <n v="0"/>
    <n v="255"/>
    <n v="273"/>
    <n v="0"/>
    <m/>
    <m/>
  </r>
  <r>
    <x v="13"/>
    <s v="University of Houston-Downtown"/>
    <n v="225432"/>
    <x v="4"/>
    <n v="246650"/>
    <n v="255195"/>
    <n v="215213"/>
    <n v="219372"/>
    <n v="11007"/>
    <n v="11820"/>
    <n v="17235"/>
    <n v="2937"/>
    <n v="258"/>
    <n v="21372"/>
    <n v="2406"/>
    <n v="225"/>
    <m/>
    <m/>
    <n v="1662"/>
    <n v="2043"/>
    <n v="1590"/>
    <n v="2010"/>
    <n v="42"/>
    <n v="9"/>
    <n v="30"/>
    <n v="0"/>
    <n v="0"/>
    <n v="24"/>
    <n v="0"/>
    <n v="0"/>
    <m/>
    <m/>
  </r>
  <r>
    <x v="13"/>
    <s v="University of Houston-Victoria"/>
    <n v="225502"/>
    <x v="4"/>
    <n v="31021"/>
    <n v="34896"/>
    <n v="5363"/>
    <n v="3888"/>
    <n v="5126"/>
    <n v="7341"/>
    <n v="18845"/>
    <n v="1063"/>
    <n v="624"/>
    <n v="22015"/>
    <n v="0"/>
    <n v="1652"/>
    <m/>
    <m/>
    <n v="20213"/>
    <n v="22541"/>
    <n v="1304"/>
    <n v="959"/>
    <n v="4308"/>
    <n v="4782"/>
    <n v="14232"/>
    <n v="264"/>
    <n v="105"/>
    <n v="15699"/>
    <n v="0"/>
    <n v="1101"/>
    <m/>
    <m/>
  </r>
  <r>
    <x v="13"/>
    <s v="Texas A &amp; M University at Galveston"/>
    <n v="228714"/>
    <x v="5"/>
    <n v="44832"/>
    <n v="44481"/>
    <n v="44832"/>
    <n v="44481"/>
    <n v="0"/>
    <n v="0"/>
    <n v="0"/>
    <n v="0"/>
    <n v="0"/>
    <n v="0"/>
    <n v="0"/>
    <n v="0"/>
    <m/>
    <m/>
    <n v="604"/>
    <n v="824"/>
    <n v="604"/>
    <n v="824"/>
    <n v="0"/>
    <n v="0"/>
    <n v="0"/>
    <n v="0"/>
    <n v="0"/>
    <n v="0"/>
    <n v="0"/>
    <n v="0"/>
    <m/>
    <m/>
  </r>
  <r>
    <x v="13"/>
    <s v="Amarillo College "/>
    <n v="222576"/>
    <x v="6"/>
    <n v="180440"/>
    <n v="176670"/>
    <n v="135278"/>
    <n v="128082"/>
    <n v="6874"/>
    <n v="5986"/>
    <n v="34360"/>
    <n v="461"/>
    <n v="3467"/>
    <n v="39095"/>
    <n v="819"/>
    <n v="2688"/>
    <m/>
    <m/>
    <n v="0"/>
    <n v="0"/>
    <m/>
    <m/>
    <m/>
    <m/>
    <m/>
    <m/>
    <m/>
    <m/>
    <m/>
    <m/>
    <m/>
    <m/>
  </r>
  <r>
    <x v="13"/>
    <s v="Austin Community College "/>
    <n v="222992"/>
    <x v="6"/>
    <n v="620928"/>
    <n v="647135"/>
    <n v="498274"/>
    <n v="511478"/>
    <n v="32590"/>
    <n v="39272"/>
    <n v="90064"/>
    <n v="0"/>
    <n v="0"/>
    <n v="96385"/>
    <n v="0"/>
    <n v="0"/>
    <m/>
    <m/>
    <n v="0"/>
    <n v="0"/>
    <m/>
    <m/>
    <m/>
    <m/>
    <m/>
    <m/>
    <m/>
    <m/>
    <m/>
    <m/>
    <m/>
    <m/>
  </r>
  <r>
    <x v="13"/>
    <s v="Blinn College "/>
    <n v="223427"/>
    <x v="6"/>
    <n v="320919"/>
    <n v="339922"/>
    <n v="58626"/>
    <n v="54725"/>
    <n v="231304"/>
    <n v="249759"/>
    <n v="30989"/>
    <n v="0"/>
    <n v="0"/>
    <n v="35438"/>
    <n v="0"/>
    <n v="0"/>
    <m/>
    <m/>
    <n v="0"/>
    <n v="0"/>
    <m/>
    <m/>
    <m/>
    <m/>
    <m/>
    <m/>
    <m/>
    <m/>
    <m/>
    <m/>
    <m/>
    <m/>
  </r>
  <r>
    <x v="13"/>
    <s v="Brookhaven College (DCCCD)"/>
    <n v="223524"/>
    <x v="6"/>
    <n v="186065"/>
    <n v="188250"/>
    <n v="152145"/>
    <n v="147409"/>
    <n v="0"/>
    <n v="0"/>
    <n v="33192"/>
    <n v="0"/>
    <n v="728"/>
    <n v="40454"/>
    <n v="0"/>
    <n v="387"/>
    <m/>
    <m/>
    <n v="0"/>
    <n v="0"/>
    <m/>
    <m/>
    <m/>
    <m/>
    <m/>
    <m/>
    <m/>
    <m/>
    <m/>
    <m/>
    <m/>
    <m/>
  </r>
  <r>
    <x v="13"/>
    <s v="Central Texas College "/>
    <n v="223816"/>
    <x v="6"/>
    <n v="251214"/>
    <n v="264146"/>
    <n v="101656"/>
    <n v="97874"/>
    <n v="48872"/>
    <n v="59093"/>
    <n v="99714"/>
    <n v="222"/>
    <n v="750"/>
    <n v="105710"/>
    <n v="1149"/>
    <n v="320"/>
    <m/>
    <m/>
    <n v="0"/>
    <n v="0"/>
    <m/>
    <m/>
    <m/>
    <m/>
    <m/>
    <m/>
    <m/>
    <m/>
    <m/>
    <m/>
    <m/>
    <m/>
  </r>
  <r>
    <x v="13"/>
    <s v="Collin County Community College District"/>
    <n v="247834"/>
    <x v="6"/>
    <n v="391973"/>
    <n v="418439"/>
    <n v="350992"/>
    <n v="376730"/>
    <n v="3143"/>
    <n v="2888"/>
    <n v="24166"/>
    <n v="156"/>
    <n v="13516"/>
    <n v="30924"/>
    <n v="0"/>
    <n v="7897"/>
    <m/>
    <m/>
    <n v="0"/>
    <n v="0"/>
    <m/>
    <m/>
    <m/>
    <m/>
    <m/>
    <m/>
    <m/>
    <m/>
    <m/>
    <m/>
    <m/>
    <m/>
  </r>
  <r>
    <x v="13"/>
    <s v="Del Mar College "/>
    <n v="224350"/>
    <x v="6"/>
    <n v="208627"/>
    <n v="206359"/>
    <n v="188537"/>
    <n v="185553"/>
    <n v="675"/>
    <n v="431"/>
    <n v="19072"/>
    <n v="90"/>
    <n v="253"/>
    <n v="20318"/>
    <n v="0"/>
    <n v="57"/>
    <m/>
    <m/>
    <n v="0"/>
    <n v="0"/>
    <m/>
    <m/>
    <m/>
    <m/>
    <m/>
    <m/>
    <m/>
    <m/>
    <m/>
    <m/>
    <m/>
    <m/>
  </r>
  <r>
    <x v="13"/>
    <s v="Eastfield College (DCCCD)"/>
    <n v="224572"/>
    <x v="6"/>
    <n v="178909"/>
    <n v="185304"/>
    <n v="148728"/>
    <n v="147313"/>
    <n v="0"/>
    <n v="0"/>
    <n v="29049"/>
    <n v="0"/>
    <n v="1132"/>
    <n v="37174"/>
    <n v="0"/>
    <n v="817"/>
    <m/>
    <m/>
    <n v="0"/>
    <n v="0"/>
    <m/>
    <m/>
    <m/>
    <m/>
    <m/>
    <m/>
    <m/>
    <m/>
    <m/>
    <m/>
    <m/>
    <m/>
  </r>
  <r>
    <x v="13"/>
    <s v="El Paso County Community College District"/>
    <n v="224642"/>
    <x v="6"/>
    <n v="476474"/>
    <n v="478668"/>
    <n v="454145"/>
    <n v="445359"/>
    <n v="0"/>
    <n v="0"/>
    <n v="19366"/>
    <n v="824"/>
    <n v="2139"/>
    <n v="28674"/>
    <n v="681"/>
    <n v="3954"/>
    <m/>
    <m/>
    <n v="0"/>
    <n v="0"/>
    <m/>
    <m/>
    <m/>
    <m/>
    <m/>
    <m/>
    <m/>
    <m/>
    <m/>
    <m/>
    <m/>
    <m/>
  </r>
  <r>
    <x v="13"/>
    <s v="Houston Community College"/>
    <n v="225423"/>
    <x v="6"/>
    <n v="804688"/>
    <n v="866197"/>
    <n v="516051"/>
    <n v="532978"/>
    <n v="187155"/>
    <n v="194430"/>
    <n v="99595"/>
    <n v="0"/>
    <n v="1887"/>
    <n v="137232"/>
    <n v="0"/>
    <n v="1557"/>
    <m/>
    <m/>
    <n v="0"/>
    <n v="0"/>
    <m/>
    <m/>
    <m/>
    <m/>
    <m/>
    <m/>
    <m/>
    <m/>
    <m/>
    <m/>
    <m/>
    <m/>
  </r>
  <r>
    <x v="13"/>
    <s v="Laredo Community College "/>
    <n v="226134"/>
    <x v="6"/>
    <n v="156550"/>
    <n v="157444"/>
    <n v="134172"/>
    <n v="135460"/>
    <n v="0"/>
    <n v="0"/>
    <n v="22378"/>
    <n v="0"/>
    <n v="0"/>
    <n v="21984"/>
    <n v="0"/>
    <n v="0"/>
    <m/>
    <m/>
    <n v="0"/>
    <n v="0"/>
    <m/>
    <m/>
    <m/>
    <m/>
    <m/>
    <m/>
    <m/>
    <m/>
    <m/>
    <m/>
    <m/>
    <m/>
  </r>
  <r>
    <x v="13"/>
    <s v="Navarro College "/>
    <n v="227146"/>
    <x v="6"/>
    <n v="156822"/>
    <n v="171875"/>
    <n v="62112"/>
    <n v="65877"/>
    <n v="62320"/>
    <n v="66713"/>
    <n v="28430"/>
    <n v="0"/>
    <n v="3960"/>
    <n v="35657"/>
    <n v="0"/>
    <n v="3628"/>
    <m/>
    <m/>
    <n v="0"/>
    <n v="0"/>
    <m/>
    <m/>
    <m/>
    <m/>
    <m/>
    <m/>
    <m/>
    <m/>
    <m/>
    <m/>
    <m/>
    <m/>
  </r>
  <r>
    <x v="13"/>
    <s v="North Harris Montgomery Community College District"/>
    <n v="227182"/>
    <x v="6"/>
    <n v="803542"/>
    <n v="842208"/>
    <n v="683441"/>
    <n v="705627"/>
    <n v="947"/>
    <n v="1403"/>
    <n v="114021"/>
    <n v="0"/>
    <n v="5133"/>
    <n v="131607"/>
    <n v="0"/>
    <n v="3571"/>
    <m/>
    <m/>
    <n v="0"/>
    <n v="0"/>
    <m/>
    <m/>
    <m/>
    <m/>
    <m/>
    <m/>
    <m/>
    <m/>
    <m/>
    <m/>
    <m/>
    <m/>
  </r>
  <r>
    <x v="13"/>
    <s v="North Lake College (DCCCD)"/>
    <n v="227191"/>
    <x v="6"/>
    <n v="170113"/>
    <n v="179296"/>
    <n v="139628"/>
    <n v="140389"/>
    <n v="3512"/>
    <n v="3696"/>
    <n v="25884"/>
    <n v="0"/>
    <n v="1089"/>
    <n v="34689"/>
    <n v="0"/>
    <n v="522"/>
    <m/>
    <m/>
    <n v="0"/>
    <n v="0"/>
    <m/>
    <m/>
    <m/>
    <m/>
    <m/>
    <m/>
    <m/>
    <m/>
    <m/>
    <m/>
    <m/>
    <m/>
  </r>
  <r>
    <x v="13"/>
    <s v="Northwest Vista College (ACCD)"/>
    <n v="420398"/>
    <x v="6"/>
    <n v="197878"/>
    <n v="214596"/>
    <n v="179192"/>
    <n v="193323"/>
    <n v="0"/>
    <n v="0"/>
    <n v="18686"/>
    <n v="0"/>
    <n v="0"/>
    <n v="21273"/>
    <n v="0"/>
    <n v="0"/>
    <m/>
    <m/>
    <n v="0"/>
    <n v="0"/>
    <m/>
    <m/>
    <m/>
    <m/>
    <m/>
    <m/>
    <m/>
    <m/>
    <m/>
    <m/>
    <m/>
    <m/>
  </r>
  <r>
    <x v="13"/>
    <s v="Palo Alto College (ACCD)"/>
    <n v="246354"/>
    <x v="6"/>
    <n v="153310"/>
    <n v="151829"/>
    <n v="125700"/>
    <n v="120745"/>
    <n v="815"/>
    <n v="123"/>
    <n v="24356"/>
    <n v="255"/>
    <n v="2184"/>
    <n v="27721"/>
    <n v="1113"/>
    <n v="2127"/>
    <m/>
    <m/>
    <n v="0"/>
    <n v="0"/>
    <m/>
    <m/>
    <m/>
    <m/>
    <m/>
    <m/>
    <m/>
    <m/>
    <m/>
    <m/>
    <m/>
    <m/>
  </r>
  <r>
    <x v="13"/>
    <s v="Richland College (DCCCD)"/>
    <n v="227766"/>
    <x v="6"/>
    <n v="280716"/>
    <n v="278781"/>
    <n v="229854"/>
    <n v="221929"/>
    <n v="0"/>
    <n v="0"/>
    <n v="50648"/>
    <n v="0"/>
    <n v="214"/>
    <n v="56831"/>
    <n v="0"/>
    <n v="21"/>
    <m/>
    <m/>
    <n v="0"/>
    <n v="0"/>
    <m/>
    <m/>
    <m/>
    <m/>
    <m/>
    <m/>
    <m/>
    <m/>
    <m/>
    <m/>
    <m/>
    <m/>
  </r>
  <r>
    <x v="13"/>
    <s v="San Antonio College (ACCD)"/>
    <n v="227924"/>
    <x v="6"/>
    <n v="428305"/>
    <n v="433451"/>
    <n v="368322"/>
    <n v="371607"/>
    <n v="4631"/>
    <n v="3818"/>
    <n v="51102"/>
    <n v="156"/>
    <n v="4094"/>
    <n v="54740"/>
    <n v="172"/>
    <n v="3114"/>
    <m/>
    <m/>
    <n v="0"/>
    <n v="0"/>
    <m/>
    <m/>
    <m/>
    <m/>
    <m/>
    <m/>
    <m/>
    <m/>
    <m/>
    <m/>
    <m/>
    <m/>
  </r>
  <r>
    <x v="13"/>
    <s v="San Jacinto College"/>
    <n v="227979"/>
    <x v="6"/>
    <n v="472885"/>
    <n v="489055"/>
    <n v="454594"/>
    <n v="439873"/>
    <n v="2602"/>
    <n v="6457"/>
    <n v="14872"/>
    <n v="655"/>
    <n v="162"/>
    <n v="42236"/>
    <n v="465"/>
    <n v="24"/>
    <m/>
    <m/>
    <n v="0"/>
    <n v="0"/>
    <m/>
    <m/>
    <m/>
    <m/>
    <m/>
    <m/>
    <m/>
    <m/>
    <m/>
    <m/>
    <m/>
    <m/>
  </r>
  <r>
    <x v="13"/>
    <s v="South Plains College "/>
    <n v="228158"/>
    <x v="6"/>
    <n v="193443"/>
    <n v="191994"/>
    <n v="91881"/>
    <n v="85953"/>
    <n v="74682"/>
    <n v="75496"/>
    <n v="23204"/>
    <n v="2925"/>
    <n v="751"/>
    <n v="26993"/>
    <n v="3552"/>
    <n v="0"/>
    <m/>
    <m/>
    <n v="0"/>
    <n v="0"/>
    <m/>
    <m/>
    <m/>
    <m/>
    <m/>
    <m/>
    <m/>
    <m/>
    <m/>
    <m/>
    <m/>
    <m/>
  </r>
  <r>
    <x v="13"/>
    <s v="South Texas College"/>
    <n v="409315"/>
    <x v="6"/>
    <n v="351818"/>
    <n v="389267"/>
    <n v="321919"/>
    <n v="347498"/>
    <n v="0"/>
    <n v="0"/>
    <n v="29629"/>
    <n v="0"/>
    <n v="270"/>
    <n v="41649"/>
    <n v="0"/>
    <n v="120"/>
    <m/>
    <m/>
    <n v="0"/>
    <n v="0"/>
    <m/>
    <m/>
    <m/>
    <m/>
    <m/>
    <m/>
    <m/>
    <m/>
    <m/>
    <m/>
    <m/>
    <m/>
  </r>
  <r>
    <x v="13"/>
    <s v="St. Philip's College (ACCD)"/>
    <n v="227854"/>
    <x v="6"/>
    <n v="203113"/>
    <n v="200267"/>
    <n v="179150"/>
    <n v="173804"/>
    <n v="3729"/>
    <n v="2738"/>
    <n v="18233"/>
    <n v="6"/>
    <n v="1995"/>
    <n v="22591"/>
    <n v="18"/>
    <n v="1116"/>
    <m/>
    <m/>
    <n v="0"/>
    <n v="0"/>
    <m/>
    <m/>
    <m/>
    <m/>
    <m/>
    <m/>
    <m/>
    <m/>
    <m/>
    <m/>
    <m/>
    <m/>
  </r>
  <r>
    <x v="13"/>
    <s v="Tarrant County College"/>
    <n v="228547"/>
    <x v="6"/>
    <n v="689512"/>
    <n v="743632"/>
    <n v="603583"/>
    <n v="636988"/>
    <n v="152"/>
    <n v="217"/>
    <n v="62513"/>
    <n v="0"/>
    <n v="23264"/>
    <n v="81413"/>
    <n v="0"/>
    <n v="25014"/>
    <m/>
    <m/>
    <n v="0"/>
    <n v="0"/>
    <m/>
    <m/>
    <m/>
    <m/>
    <m/>
    <m/>
    <m/>
    <m/>
    <m/>
    <m/>
    <m/>
    <m/>
  </r>
  <r>
    <x v="13"/>
    <s v="Texas Southmost College "/>
    <n v="229072"/>
    <x v="6"/>
    <n v="198852"/>
    <n v="182037"/>
    <n v="187215"/>
    <n v="170067"/>
    <n v="6138"/>
    <n v="5573"/>
    <n v="5499"/>
    <n v="0"/>
    <n v="0"/>
    <n v="6397"/>
    <n v="0"/>
    <n v="0"/>
    <m/>
    <m/>
    <n v="0"/>
    <n v="0"/>
    <m/>
    <m/>
    <m/>
    <m/>
    <m/>
    <m/>
    <m/>
    <m/>
    <m/>
    <m/>
    <m/>
    <m/>
  </r>
  <r>
    <x v="13"/>
    <s v="Tyler Junior College "/>
    <n v="229355"/>
    <x v="6"/>
    <n v="198552"/>
    <n v="219523"/>
    <n v="162345"/>
    <n v="182810"/>
    <n v="2204"/>
    <n v="0"/>
    <n v="31816"/>
    <n v="0"/>
    <n v="2187"/>
    <n v="34841"/>
    <n v="0"/>
    <n v="1872"/>
    <m/>
    <m/>
    <n v="0"/>
    <n v="0"/>
    <m/>
    <m/>
    <m/>
    <m/>
    <m/>
    <m/>
    <m/>
    <m/>
    <m/>
    <m/>
    <m/>
    <m/>
  </r>
  <r>
    <x v="13"/>
    <s v="Alvin Community College "/>
    <n v="222567"/>
    <x v="7"/>
    <n v="90107"/>
    <n v="92482"/>
    <n v="74230"/>
    <n v="77189"/>
    <n v="15649"/>
    <n v="15167"/>
    <n v="228"/>
    <n v="0"/>
    <n v="0"/>
    <n v="126"/>
    <n v="0"/>
    <n v="0"/>
    <m/>
    <m/>
    <n v="0"/>
    <n v="0"/>
    <m/>
    <m/>
    <m/>
    <m/>
    <m/>
    <m/>
    <m/>
    <m/>
    <m/>
    <m/>
    <m/>
    <m/>
  </r>
  <r>
    <x v="13"/>
    <s v="Angelina College "/>
    <n v="222822"/>
    <x v="7"/>
    <n v="94546"/>
    <n v="95537"/>
    <n v="72588"/>
    <n v="70067"/>
    <n v="10677"/>
    <n v="11798"/>
    <n v="8822"/>
    <n v="2459"/>
    <n v="0"/>
    <n v="9432"/>
    <n v="4220"/>
    <n v="20"/>
    <m/>
    <m/>
    <n v="0"/>
    <n v="0"/>
    <m/>
    <m/>
    <m/>
    <m/>
    <m/>
    <m/>
    <m/>
    <m/>
    <m/>
    <m/>
    <m/>
    <m/>
  </r>
  <r>
    <x v="13"/>
    <s v="Brazosport College "/>
    <n v="223506"/>
    <x v="7"/>
    <n v="68091"/>
    <n v="68012"/>
    <n v="60438"/>
    <n v="57121"/>
    <n v="2243"/>
    <n v="4039"/>
    <n v="5410"/>
    <n v="0"/>
    <n v="0"/>
    <n v="6852"/>
    <n v="0"/>
    <n v="0"/>
    <m/>
    <m/>
    <n v="0"/>
    <n v="0"/>
    <m/>
    <m/>
    <m/>
    <m/>
    <m/>
    <m/>
    <m/>
    <m/>
    <m/>
    <m/>
    <m/>
    <m/>
  </r>
  <r>
    <x v="13"/>
    <s v="Cedar Valley College (DCCCD)"/>
    <n v="223773"/>
    <x v="7"/>
    <n v="87876"/>
    <n v="89646"/>
    <n v="64337"/>
    <n v="60035"/>
    <n v="108"/>
    <n v="3059"/>
    <n v="23080"/>
    <n v="0"/>
    <n v="351"/>
    <n v="26381"/>
    <n v="0"/>
    <n v="171"/>
    <m/>
    <m/>
    <n v="0"/>
    <n v="0"/>
    <m/>
    <m/>
    <m/>
    <m/>
    <m/>
    <m/>
    <m/>
    <m/>
    <m/>
    <m/>
    <m/>
    <m/>
  </r>
  <r>
    <x v="13"/>
    <s v="Coastal Bend College"/>
    <n v="223320"/>
    <x v="7"/>
    <n v="60236"/>
    <n v="67522"/>
    <n v="22394"/>
    <n v="23886"/>
    <n v="28677"/>
    <n v="31912"/>
    <n v="7533"/>
    <n v="1632"/>
    <n v="0"/>
    <n v="9232"/>
    <n v="2489"/>
    <n v="3"/>
    <m/>
    <m/>
    <n v="0"/>
    <n v="0"/>
    <m/>
    <m/>
    <m/>
    <m/>
    <m/>
    <m/>
    <m/>
    <m/>
    <m/>
    <m/>
    <m/>
    <m/>
  </r>
  <r>
    <x v="13"/>
    <s v="College of the Mainland"/>
    <n v="226408"/>
    <x v="7"/>
    <n v="70586"/>
    <n v="72503"/>
    <n v="66799"/>
    <n v="68069"/>
    <n v="3733"/>
    <n v="4434"/>
    <n v="54"/>
    <n v="0"/>
    <n v="0"/>
    <n v="0"/>
    <n v="0"/>
    <n v="0"/>
    <m/>
    <m/>
    <n v="0"/>
    <n v="0"/>
    <m/>
    <m/>
    <m/>
    <m/>
    <m/>
    <m/>
    <m/>
    <m/>
    <m/>
    <m/>
    <m/>
    <m/>
  </r>
  <r>
    <x v="13"/>
    <s v="El Centro College  (DCCCD)"/>
    <n v="224615"/>
    <x v="7"/>
    <n v="118250"/>
    <n v="126544"/>
    <n v="105550"/>
    <n v="104894"/>
    <n v="0"/>
    <n v="0"/>
    <n v="12071"/>
    <n v="0"/>
    <n v="629"/>
    <n v="21095"/>
    <n v="0"/>
    <n v="555"/>
    <m/>
    <m/>
    <n v="0"/>
    <n v="0"/>
    <m/>
    <m/>
    <m/>
    <m/>
    <m/>
    <m/>
    <m/>
    <m/>
    <m/>
    <m/>
    <m/>
    <m/>
  </r>
  <r>
    <x v="13"/>
    <s v="Grayson County College "/>
    <n v="225070"/>
    <x v="7"/>
    <n v="81940"/>
    <n v="85715"/>
    <n v="63081"/>
    <n v="64893"/>
    <n v="447"/>
    <n v="660"/>
    <n v="16944"/>
    <n v="0"/>
    <n v="1468"/>
    <n v="18683"/>
    <n v="0"/>
    <n v="1479"/>
    <m/>
    <m/>
    <n v="0"/>
    <n v="0"/>
    <m/>
    <m/>
    <m/>
    <m/>
    <m/>
    <m/>
    <m/>
    <m/>
    <m/>
    <m/>
    <m/>
    <m/>
  </r>
  <r>
    <x v="13"/>
    <s v="Howard College (HCJCD)"/>
    <n v="225520"/>
    <x v="7"/>
    <n v="58541"/>
    <n v="61905"/>
    <n v="20549"/>
    <n v="19184"/>
    <n v="26421"/>
    <n v="28712"/>
    <n v="9726"/>
    <n v="1707"/>
    <n v="138"/>
    <n v="11337"/>
    <n v="2510"/>
    <n v="162"/>
    <m/>
    <m/>
    <n v="0"/>
    <n v="0"/>
    <m/>
    <m/>
    <m/>
    <m/>
    <m/>
    <m/>
    <m/>
    <m/>
    <m/>
    <m/>
    <m/>
    <m/>
  </r>
  <r>
    <x v="13"/>
    <s v="Kilgore College "/>
    <n v="226019"/>
    <x v="7"/>
    <n v="110628"/>
    <n v="117934"/>
    <n v="78090"/>
    <n v="80724"/>
    <n v="22935"/>
    <n v="25042"/>
    <n v="8487"/>
    <n v="276"/>
    <n v="840"/>
    <n v="11433"/>
    <n v="369"/>
    <n v="366"/>
    <m/>
    <m/>
    <n v="0"/>
    <n v="0"/>
    <m/>
    <m/>
    <m/>
    <m/>
    <m/>
    <m/>
    <m/>
    <m/>
    <m/>
    <m/>
    <m/>
    <m/>
  </r>
  <r>
    <x v="13"/>
    <s v="Lamar Institute of Technology"/>
    <n v="441760"/>
    <x v="7"/>
    <n v="54924"/>
    <n v="60476"/>
    <n v="51710"/>
    <n v="57244"/>
    <n v="162"/>
    <n v="0"/>
    <n v="3052"/>
    <n v="0"/>
    <n v="0"/>
    <n v="3232"/>
    <n v="0"/>
    <n v="0"/>
    <m/>
    <m/>
    <n v="0"/>
    <n v="0"/>
    <m/>
    <m/>
    <m/>
    <m/>
    <m/>
    <m/>
    <m/>
    <m/>
    <m/>
    <m/>
    <m/>
    <m/>
  </r>
  <r>
    <x v="13"/>
    <s v="Lee College "/>
    <n v="226204"/>
    <x v="7"/>
    <n v="123030"/>
    <n v="125005"/>
    <n v="99763"/>
    <n v="100000"/>
    <n v="19523"/>
    <n v="19964"/>
    <n v="841"/>
    <n v="0"/>
    <n v="2903"/>
    <n v="1182"/>
    <n v="0"/>
    <n v="3859"/>
    <m/>
    <m/>
    <n v="0"/>
    <n v="0"/>
    <m/>
    <m/>
    <m/>
    <m/>
    <m/>
    <m/>
    <m/>
    <m/>
    <m/>
    <m/>
    <m/>
    <m/>
  </r>
  <r>
    <x v="13"/>
    <s v="McLennan Community College "/>
    <n v="226578"/>
    <x v="7"/>
    <n v="173022"/>
    <n v="170680"/>
    <n v="143539"/>
    <n v="138129"/>
    <n v="1278"/>
    <n v="60"/>
    <n v="27116"/>
    <n v="1089"/>
    <n v="0"/>
    <n v="31387"/>
    <n v="1104"/>
    <n v="0"/>
    <m/>
    <m/>
    <n v="0"/>
    <n v="0"/>
    <m/>
    <m/>
    <m/>
    <m/>
    <m/>
    <m/>
    <m/>
    <m/>
    <m/>
    <m/>
    <m/>
    <m/>
  </r>
  <r>
    <x v="13"/>
    <s v="Midland College "/>
    <n v="226806"/>
    <x v="7"/>
    <n v="110562"/>
    <n v="111923"/>
    <n v="77471"/>
    <n v="76385"/>
    <n v="3512"/>
    <n v="3087"/>
    <n v="27546"/>
    <n v="2033"/>
    <n v="0"/>
    <n v="30502"/>
    <n v="1949"/>
    <n v="0"/>
    <m/>
    <m/>
    <n v="0"/>
    <n v="0"/>
    <m/>
    <m/>
    <m/>
    <m/>
    <m/>
    <m/>
    <m/>
    <m/>
    <m/>
    <m/>
    <m/>
    <m/>
  </r>
  <r>
    <x v="13"/>
    <s v="Mountain View College (DCCCD)"/>
    <n v="226930"/>
    <x v="7"/>
    <n v="116688"/>
    <n v="117179"/>
    <n v="99344"/>
    <n v="97362"/>
    <n v="0"/>
    <n v="0"/>
    <n v="17251"/>
    <n v="0"/>
    <n v="93"/>
    <n v="19796"/>
    <n v="0"/>
    <n v="21"/>
    <m/>
    <m/>
    <n v="0"/>
    <n v="0"/>
    <m/>
    <m/>
    <m/>
    <m/>
    <m/>
    <m/>
    <m/>
    <m/>
    <m/>
    <m/>
    <m/>
    <m/>
  </r>
  <r>
    <x v="13"/>
    <s v="North Central Texas Community College"/>
    <n v="224110"/>
    <x v="7"/>
    <n v="141224"/>
    <n v="150625"/>
    <n v="31308"/>
    <n v="31797"/>
    <n v="98527"/>
    <n v="99834"/>
    <n v="8818"/>
    <n v="873"/>
    <n v="1698"/>
    <n v="17802"/>
    <n v="138"/>
    <n v="1054"/>
    <m/>
    <m/>
    <n v="0"/>
    <n v="0"/>
    <m/>
    <m/>
    <m/>
    <m/>
    <m/>
    <m/>
    <m/>
    <m/>
    <m/>
    <m/>
    <m/>
    <m/>
  </r>
  <r>
    <x v="13"/>
    <s v="Odessa College "/>
    <n v="227304"/>
    <x v="7"/>
    <n v="83460"/>
    <n v="86763"/>
    <n v="60598"/>
    <n v="57663"/>
    <n v="7601"/>
    <n v="7053"/>
    <n v="15261"/>
    <n v="0"/>
    <n v="0"/>
    <n v="22047"/>
    <n v="0"/>
    <n v="0"/>
    <m/>
    <m/>
    <n v="0"/>
    <n v="0"/>
    <m/>
    <m/>
    <m/>
    <m/>
    <m/>
    <m/>
    <m/>
    <m/>
    <m/>
    <m/>
    <m/>
    <m/>
  </r>
  <r>
    <x v="13"/>
    <s v="Paris Junior College"/>
    <n v="227401"/>
    <x v="7"/>
    <n v="87880"/>
    <n v="92944"/>
    <n v="40836"/>
    <n v="41769"/>
    <n v="33266"/>
    <n v="33538"/>
    <n v="11990"/>
    <n v="1725"/>
    <n v="63"/>
    <n v="14977"/>
    <n v="2660"/>
    <n v="0"/>
    <m/>
    <m/>
    <n v="0"/>
    <n v="0"/>
    <m/>
    <m/>
    <m/>
    <m/>
    <m/>
    <m/>
    <m/>
    <m/>
    <m/>
    <m/>
    <m/>
    <m/>
  </r>
  <r>
    <x v="13"/>
    <s v="Southwest Texas Junior College "/>
    <n v="228316"/>
    <x v="7"/>
    <n v="94038"/>
    <n v="93170"/>
    <n v="25886"/>
    <n v="25619"/>
    <n v="45605"/>
    <n v="44587"/>
    <n v="6882"/>
    <n v="15665"/>
    <n v="0"/>
    <n v="6668"/>
    <n v="16296"/>
    <n v="0"/>
    <m/>
    <m/>
    <n v="0"/>
    <n v="0"/>
    <m/>
    <m/>
    <m/>
    <m/>
    <m/>
    <m/>
    <m/>
    <m/>
    <m/>
    <m/>
    <m/>
    <m/>
  </r>
  <r>
    <x v="13"/>
    <s v="Temple College "/>
    <n v="228608"/>
    <x v="7"/>
    <n v="90010"/>
    <n v="99320"/>
    <n v="57930"/>
    <n v="62308"/>
    <n v="15631"/>
    <n v="15882"/>
    <n v="16359"/>
    <n v="45"/>
    <n v="45"/>
    <n v="21130"/>
    <n v="0"/>
    <n v="0"/>
    <m/>
    <m/>
    <n v="0"/>
    <n v="0"/>
    <m/>
    <m/>
    <m/>
    <m/>
    <m/>
    <m/>
    <m/>
    <m/>
    <m/>
    <m/>
    <m/>
    <m/>
  </r>
  <r>
    <x v="13"/>
    <s v="Texarkana College "/>
    <n v="228699"/>
    <x v="7"/>
    <n v="84467"/>
    <n v="89665"/>
    <n v="76421"/>
    <n v="77824"/>
    <n v="5871"/>
    <n v="7822"/>
    <n v="2067"/>
    <n v="108"/>
    <n v="0"/>
    <n v="4007"/>
    <n v="12"/>
    <n v="0"/>
    <m/>
    <m/>
    <n v="0"/>
    <n v="0"/>
    <m/>
    <m/>
    <m/>
    <m/>
    <m/>
    <m/>
    <m/>
    <m/>
    <m/>
    <m/>
    <m/>
    <m/>
  </r>
  <r>
    <x v="13"/>
    <s v="Texas State Technical College-Harlingen "/>
    <n v="229319"/>
    <x v="7"/>
    <n v="104300"/>
    <n v="112465"/>
    <n v="91930"/>
    <n v="96409"/>
    <n v="5652"/>
    <n v="7105"/>
    <n v="4582"/>
    <n v="2136"/>
    <n v="0"/>
    <n v="6761"/>
    <n v="2190"/>
    <n v="0"/>
    <m/>
    <m/>
    <n v="0"/>
    <n v="0"/>
    <m/>
    <m/>
    <m/>
    <m/>
    <m/>
    <m/>
    <m/>
    <m/>
    <m/>
    <m/>
    <m/>
    <m/>
  </r>
  <r>
    <x v="13"/>
    <s v="Texas State Technical College-Waco"/>
    <n v="228680"/>
    <x v="7"/>
    <n v="123287"/>
    <n v="125460"/>
    <n v="109783"/>
    <n v="108847"/>
    <n v="7240"/>
    <n v="10248"/>
    <n v="6139"/>
    <n v="0"/>
    <n v="125"/>
    <n v="6308"/>
    <n v="0"/>
    <n v="57"/>
    <m/>
    <m/>
    <n v="0"/>
    <n v="0"/>
    <m/>
    <m/>
    <m/>
    <m/>
    <m/>
    <m/>
    <m/>
    <m/>
    <m/>
    <m/>
    <m/>
    <m/>
  </r>
  <r>
    <x v="13"/>
    <s v="Trinity Valley Community College"/>
    <n v="225308"/>
    <x v="7"/>
    <n v="131124"/>
    <n v="134065"/>
    <n v="74008"/>
    <n v="76965"/>
    <n v="39072"/>
    <n v="37542"/>
    <n v="15498"/>
    <n v="2243"/>
    <n v="303"/>
    <n v="17524"/>
    <n v="2034"/>
    <n v="0"/>
    <m/>
    <m/>
    <n v="0"/>
    <n v="0"/>
    <m/>
    <m/>
    <m/>
    <m/>
    <m/>
    <m/>
    <m/>
    <m/>
    <m/>
    <m/>
    <m/>
    <m/>
  </r>
  <r>
    <x v="13"/>
    <s v="Vernon College "/>
    <n v="229504"/>
    <x v="7"/>
    <n v="56034"/>
    <n v="57483"/>
    <n v="10264"/>
    <n v="9295"/>
    <n v="25744"/>
    <n v="26370"/>
    <n v="14413"/>
    <n v="5613"/>
    <n v="0"/>
    <n v="16078"/>
    <n v="5740"/>
    <n v="0"/>
    <m/>
    <m/>
    <n v="0"/>
    <n v="0"/>
    <m/>
    <m/>
    <m/>
    <m/>
    <m/>
    <m/>
    <m/>
    <m/>
    <m/>
    <m/>
    <m/>
    <m/>
  </r>
  <r>
    <x v="13"/>
    <s v="Victoria College "/>
    <n v="229540"/>
    <x v="7"/>
    <n v="74282"/>
    <n v="74228"/>
    <n v="50698"/>
    <n v="48337"/>
    <n v="4150"/>
    <n v="4904"/>
    <n v="16482"/>
    <n v="2952"/>
    <n v="0"/>
    <n v="17856"/>
    <n v="3131"/>
    <n v="0"/>
    <m/>
    <m/>
    <n v="0"/>
    <n v="0"/>
    <m/>
    <m/>
    <m/>
    <m/>
    <m/>
    <m/>
    <m/>
    <m/>
    <m/>
    <m/>
    <m/>
    <m/>
  </r>
  <r>
    <x v="13"/>
    <s v="Weatherford College "/>
    <n v="229799"/>
    <x v="7"/>
    <n v="91001"/>
    <n v="93510"/>
    <n v="68480"/>
    <n v="70052"/>
    <n v="9561"/>
    <n v="10679"/>
    <n v="11859"/>
    <n v="981"/>
    <n v="120"/>
    <n v="11760"/>
    <n v="764"/>
    <n v="255"/>
    <m/>
    <m/>
    <n v="0"/>
    <n v="0"/>
    <m/>
    <m/>
    <m/>
    <m/>
    <m/>
    <m/>
    <m/>
    <m/>
    <m/>
    <m/>
    <m/>
    <m/>
  </r>
  <r>
    <x v="13"/>
    <s v="Wharton County Junior College "/>
    <n v="229841"/>
    <x v="7"/>
    <n v="120554"/>
    <n v="122424"/>
    <n v="39696"/>
    <n v="40482"/>
    <n v="68154"/>
    <n v="66698"/>
    <n v="9878"/>
    <n v="2826"/>
    <n v="0"/>
    <n v="12495"/>
    <n v="2749"/>
    <n v="0"/>
    <m/>
    <m/>
    <n v="0"/>
    <n v="0"/>
    <m/>
    <m/>
    <m/>
    <m/>
    <m/>
    <m/>
    <m/>
    <m/>
    <m/>
    <m/>
    <m/>
    <m/>
  </r>
  <r>
    <x v="13"/>
    <s v="Cisco Junior College "/>
    <n v="223898"/>
    <x v="8"/>
    <n v="74558"/>
    <n v="74913"/>
    <n v="18284"/>
    <n v="16970"/>
    <n v="51678"/>
    <n v="47645"/>
    <n v="3897"/>
    <n v="699"/>
    <n v="0"/>
    <n v="9233"/>
    <n v="1065"/>
    <n v="0"/>
    <m/>
    <m/>
    <n v="0"/>
    <n v="0"/>
    <m/>
    <m/>
    <m/>
    <m/>
    <m/>
    <m/>
    <m/>
    <m/>
    <m/>
    <m/>
    <m/>
    <m/>
  </r>
  <r>
    <x v="13"/>
    <s v="Clarendon College "/>
    <n v="223922"/>
    <x v="8"/>
    <n v="24871"/>
    <n v="26899"/>
    <n v="11265"/>
    <n v="11179"/>
    <n v="9433"/>
    <n v="10891"/>
    <n v="2653"/>
    <n v="1143"/>
    <n v="377"/>
    <n v="4469"/>
    <n v="144"/>
    <n v="216"/>
    <m/>
    <m/>
    <n v="0"/>
    <n v="0"/>
    <m/>
    <m/>
    <m/>
    <m/>
    <m/>
    <m/>
    <m/>
    <m/>
    <m/>
    <m/>
    <m/>
    <m/>
  </r>
  <r>
    <x v="13"/>
    <s v="Frank Phillips College "/>
    <n v="224891"/>
    <x v="8"/>
    <n v="26200"/>
    <n v="25735"/>
    <n v="18517"/>
    <n v="17303"/>
    <n v="1744"/>
    <n v="1798"/>
    <n v="3144"/>
    <n v="0"/>
    <n v="2795"/>
    <n v="3261"/>
    <n v="0"/>
    <n v="3373"/>
    <m/>
    <m/>
    <n v="0"/>
    <n v="0"/>
    <m/>
    <m/>
    <m/>
    <m/>
    <m/>
    <m/>
    <m/>
    <m/>
    <m/>
    <m/>
    <m/>
    <m/>
  </r>
  <r>
    <x v="13"/>
    <s v="Galveston College "/>
    <n v="224961"/>
    <x v="8"/>
    <n v="41277"/>
    <n v="41316"/>
    <n v="40820"/>
    <n v="40694"/>
    <n v="53"/>
    <n v="0"/>
    <n v="404"/>
    <n v="0"/>
    <n v="0"/>
    <n v="622"/>
    <n v="0"/>
    <n v="0"/>
    <m/>
    <m/>
    <n v="0"/>
    <n v="0"/>
    <m/>
    <m/>
    <m/>
    <m/>
    <m/>
    <m/>
    <m/>
    <m/>
    <m/>
    <m/>
    <m/>
    <m/>
  </r>
  <r>
    <x v="13"/>
    <s v="Hill College"/>
    <n v="225371"/>
    <x v="8"/>
    <n v="69586"/>
    <n v="73145"/>
    <n v="18402"/>
    <n v="17382"/>
    <n v="36069"/>
    <n v="36820"/>
    <n v="13785"/>
    <n v="1237"/>
    <n v="93"/>
    <n v="17700"/>
    <n v="1243"/>
    <n v="0"/>
    <m/>
    <m/>
    <n v="0"/>
    <n v="0"/>
    <m/>
    <m/>
    <m/>
    <m/>
    <m/>
    <m/>
    <m/>
    <m/>
    <m/>
    <m/>
    <m/>
    <m/>
  </r>
  <r>
    <x v="13"/>
    <s v="Lamar State College-Orange"/>
    <n v="226107"/>
    <x v="8"/>
    <n v="41415"/>
    <n v="43364"/>
    <n v="37075"/>
    <n v="37896"/>
    <n v="1373"/>
    <n v="1452"/>
    <n v="2967"/>
    <n v="0"/>
    <n v="0"/>
    <n v="4016"/>
    <n v="0"/>
    <n v="0"/>
    <m/>
    <m/>
    <n v="0"/>
    <n v="0"/>
    <m/>
    <m/>
    <m/>
    <m/>
    <m/>
    <m/>
    <m/>
    <m/>
    <m/>
    <m/>
    <m/>
    <m/>
  </r>
  <r>
    <x v="13"/>
    <s v="Lamar State College-Port Arthur"/>
    <n v="226116"/>
    <x v="8"/>
    <n v="46811"/>
    <n v="42313"/>
    <n v="39549"/>
    <n v="34579"/>
    <n v="4976"/>
    <n v="5389"/>
    <n v="2286"/>
    <n v="0"/>
    <n v="0"/>
    <n v="2345"/>
    <n v="0"/>
    <n v="0"/>
    <m/>
    <m/>
    <n v="0"/>
    <n v="0"/>
    <m/>
    <m/>
    <m/>
    <m/>
    <m/>
    <m/>
    <m/>
    <m/>
    <m/>
    <m/>
    <m/>
    <m/>
  </r>
  <r>
    <x v="13"/>
    <s v="Northeast Lakeview College (ACCD)"/>
    <m/>
    <x v="8"/>
    <n v="895"/>
    <n v="6815"/>
    <n v="868"/>
    <n v="6687"/>
    <m/>
    <n v="0"/>
    <n v="27"/>
    <m/>
    <m/>
    <n v="128"/>
    <n v="0"/>
    <n v="0"/>
    <m/>
    <m/>
    <n v="0"/>
    <n v="0"/>
    <m/>
    <m/>
    <m/>
    <m/>
    <m/>
    <m/>
    <m/>
    <m/>
    <m/>
    <m/>
    <m/>
    <m/>
  </r>
  <r>
    <x v="13"/>
    <s v="Northeast Texas Community College "/>
    <n v="227225"/>
    <x v="8"/>
    <n v="52234"/>
    <n v="54001"/>
    <n v="46315"/>
    <n v="46702"/>
    <n v="549"/>
    <n v="783"/>
    <n v="5370"/>
    <n v="0"/>
    <n v="0"/>
    <n v="6516"/>
    <n v="0"/>
    <n v="0"/>
    <m/>
    <m/>
    <n v="0"/>
    <n v="0"/>
    <m/>
    <m/>
    <m/>
    <m/>
    <m/>
    <m/>
    <m/>
    <m/>
    <m/>
    <m/>
    <m/>
    <m/>
  </r>
  <r>
    <x v="13"/>
    <s v="Panola College"/>
    <n v="227386"/>
    <x v="8"/>
    <n v="40528"/>
    <n v="41640"/>
    <n v="23227"/>
    <n v="23331"/>
    <n v="7235"/>
    <n v="7337"/>
    <n v="9587"/>
    <n v="479"/>
    <n v="0"/>
    <n v="9821"/>
    <n v="1151"/>
    <n v="0"/>
    <m/>
    <m/>
    <n v="0"/>
    <n v="0"/>
    <m/>
    <m/>
    <m/>
    <m/>
    <m/>
    <m/>
    <m/>
    <m/>
    <m/>
    <m/>
    <m/>
    <m/>
  </r>
  <r>
    <x v="13"/>
    <s v="Ranger College "/>
    <n v="227687"/>
    <x v="8"/>
    <n v="18701"/>
    <n v="18882"/>
    <n v="10844"/>
    <n v="11378"/>
    <n v="6885"/>
    <n v="6198"/>
    <n v="756"/>
    <n v="216"/>
    <n v="0"/>
    <n v="1091"/>
    <n v="215"/>
    <n v="0"/>
    <m/>
    <m/>
    <n v="0"/>
    <n v="0"/>
    <m/>
    <m/>
    <m/>
    <m/>
    <m/>
    <m/>
    <m/>
    <m/>
    <m/>
    <m/>
    <m/>
    <m/>
  </r>
  <r>
    <x v="13"/>
    <s v="Southwest Collegiate Institute for the Deaf (HCJCD)"/>
    <n v="382911"/>
    <x v="8"/>
    <n v="2181"/>
    <n v="2083"/>
    <n v="2151"/>
    <n v="2059"/>
    <n v="0"/>
    <n v="0"/>
    <n v="30"/>
    <n v="0"/>
    <n v="0"/>
    <n v="24"/>
    <n v="0"/>
    <n v="0"/>
    <m/>
    <m/>
    <n v="0"/>
    <n v="0"/>
    <m/>
    <m/>
    <m/>
    <m/>
    <m/>
    <m/>
    <m/>
    <m/>
    <m/>
    <m/>
    <m/>
    <m/>
  </r>
  <r>
    <x v="13"/>
    <s v="Texas State Technical College-Marshall"/>
    <n v="408394"/>
    <x v="8"/>
    <n v="14643"/>
    <n v="17874"/>
    <n v="8809"/>
    <n v="10365"/>
    <n v="500"/>
    <n v="1508"/>
    <n v="5334"/>
    <n v="0"/>
    <n v="0"/>
    <n v="6001"/>
    <n v="0"/>
    <n v="0"/>
    <m/>
    <m/>
    <n v="0"/>
    <n v="0"/>
    <m/>
    <m/>
    <m/>
    <m/>
    <m/>
    <m/>
    <m/>
    <m/>
    <m/>
    <m/>
    <m/>
    <m/>
  </r>
  <r>
    <x v="13"/>
    <s v="Texas State Technical College-West Texas"/>
    <n v="229328"/>
    <x v="8"/>
    <n v="38294"/>
    <n v="42967"/>
    <n v="12414"/>
    <n v="8441"/>
    <n v="16313"/>
    <n v="13887"/>
    <n v="5451"/>
    <n v="3528"/>
    <n v="588"/>
    <n v="16662"/>
    <n v="1970"/>
    <n v="2007"/>
    <m/>
    <m/>
    <n v="0"/>
    <n v="0"/>
    <m/>
    <m/>
    <m/>
    <m/>
    <m/>
    <m/>
    <m/>
    <m/>
    <m/>
    <m/>
    <m/>
    <m/>
  </r>
  <r>
    <x v="13"/>
    <s v="Western Texas College "/>
    <n v="229832"/>
    <x v="8"/>
    <n v="38707"/>
    <n v="41284"/>
    <n v="14148"/>
    <n v="12290"/>
    <n v="9820"/>
    <n v="8089"/>
    <n v="8344"/>
    <n v="5525"/>
    <n v="870"/>
    <n v="15616"/>
    <n v="4332"/>
    <n v="957"/>
    <m/>
    <m/>
    <n v="0"/>
    <n v="0"/>
    <m/>
    <m/>
    <m/>
    <m/>
    <m/>
    <m/>
    <m/>
    <m/>
    <m/>
    <m/>
    <m/>
    <m/>
  </r>
  <r>
    <x v="14"/>
    <s v="Not Reported"/>
    <m/>
    <x v="0"/>
    <n v="0"/>
    <n v="0"/>
    <m/>
    <m/>
    <m/>
    <m/>
    <m/>
    <m/>
    <m/>
    <m/>
    <m/>
    <m/>
    <m/>
    <m/>
    <n v="0"/>
    <n v="0"/>
    <m/>
    <m/>
    <m/>
    <m/>
    <m/>
    <m/>
    <m/>
    <m/>
    <m/>
    <m/>
    <m/>
    <m/>
  </r>
  <r>
    <x v="15"/>
    <s v="West Virginia University"/>
    <n v="238032"/>
    <x v="0"/>
    <n v="622418"/>
    <n v="636145"/>
    <n v="592537"/>
    <n v="603440"/>
    <n v="1096"/>
    <n v="1154"/>
    <n v="26843"/>
    <m/>
    <n v="1896"/>
    <n v="28919"/>
    <n v="87"/>
    <n v="2536"/>
    <n v="46"/>
    <n v="9"/>
    <n v="111142"/>
    <n v="111195"/>
    <n v="77470"/>
    <n v="74878"/>
    <n v="13835"/>
    <n v="12921"/>
    <n v="15896"/>
    <n v="3420"/>
    <n v="521"/>
    <n v="20492"/>
    <n v="2317"/>
    <n v="587"/>
    <m/>
    <m/>
  </r>
  <r>
    <x v="15"/>
    <s v="Marshall University "/>
    <n v="237525"/>
    <x v="2"/>
    <n v="257348"/>
    <n v="252632"/>
    <n v="218638"/>
    <n v="210543"/>
    <n v="12552"/>
    <n v="12193"/>
    <n v="26158"/>
    <m/>
    <m/>
    <n v="29827"/>
    <n v="69"/>
    <m/>
    <m/>
    <m/>
    <n v="57249"/>
    <n v="56858"/>
    <n v="16382"/>
    <n v="19008"/>
    <n v="27236"/>
    <n v="24396"/>
    <n v="12347"/>
    <n v="1284"/>
    <m/>
    <n v="12218"/>
    <n v="1236"/>
    <m/>
    <m/>
    <m/>
  </r>
  <r>
    <x v="15"/>
    <s v="Bluefield State College "/>
    <n v="237215"/>
    <x v="5"/>
    <n v="48658"/>
    <n v="50763"/>
    <n v="34677"/>
    <n v="34231"/>
    <n v="4544"/>
    <n v="4465"/>
    <n v="8530"/>
    <n v="874"/>
    <n v="33"/>
    <n v="10166"/>
    <n v="1889"/>
    <n v="12"/>
    <m/>
    <m/>
    <n v="0"/>
    <n v="0"/>
    <m/>
    <m/>
    <m/>
    <m/>
    <m/>
    <m/>
    <m/>
    <m/>
    <m/>
    <m/>
    <m/>
    <m/>
  </r>
  <r>
    <x v="15"/>
    <s v="Concord University "/>
    <n v="237330"/>
    <x v="5"/>
    <n v="76929"/>
    <n v="79002"/>
    <n v="67618"/>
    <n v="68388"/>
    <n v="8153"/>
    <n v="9532"/>
    <n v="1026"/>
    <n v="132"/>
    <m/>
    <n v="721"/>
    <n v="361"/>
    <m/>
    <m/>
    <m/>
    <n v="1260"/>
    <n v="984"/>
    <n v="324"/>
    <n v="87"/>
    <n v="12"/>
    <n v="6"/>
    <n v="924"/>
    <m/>
    <m/>
    <n v="891"/>
    <m/>
    <m/>
    <m/>
    <m/>
  </r>
  <r>
    <x v="15"/>
    <s v="Fairmont State University"/>
    <n v="237367"/>
    <x v="5"/>
    <n v="109685"/>
    <n v="113530"/>
    <n v="87169"/>
    <n v="87816"/>
    <n v="14251"/>
    <n v="14664"/>
    <n v="8265"/>
    <m/>
    <m/>
    <n v="11050"/>
    <m/>
    <m/>
    <m/>
    <m/>
    <n v="5153"/>
    <n v="6242"/>
    <n v="1239"/>
    <n v="1440"/>
    <m/>
    <m/>
    <n v="3914"/>
    <m/>
    <m/>
    <n v="4802"/>
    <m/>
    <m/>
    <m/>
    <m/>
  </r>
  <r>
    <x v="15"/>
    <s v="Glenville State College "/>
    <n v="237385"/>
    <x v="5"/>
    <n v="35958"/>
    <n v="37334"/>
    <n v="32451"/>
    <n v="32683"/>
    <n v="1072"/>
    <n v="2032"/>
    <n v="2435"/>
    <m/>
    <m/>
    <n v="2619"/>
    <m/>
    <m/>
    <m/>
    <m/>
    <n v="0"/>
    <n v="0"/>
    <m/>
    <m/>
    <m/>
    <m/>
    <m/>
    <m/>
    <m/>
    <m/>
    <m/>
    <m/>
    <m/>
    <m/>
  </r>
  <r>
    <x v="15"/>
    <s v="Shepherd University "/>
    <n v="237792"/>
    <x v="5"/>
    <n v="103440"/>
    <n v="104117"/>
    <n v="101824"/>
    <n v="102180"/>
    <m/>
    <m/>
    <n v="1616"/>
    <m/>
    <m/>
    <n v="1937"/>
    <m/>
    <m/>
    <m/>
    <m/>
    <n v="2427"/>
    <n v="2966"/>
    <n v="2367"/>
    <n v="2948"/>
    <m/>
    <m/>
    <n v="60"/>
    <m/>
    <m/>
    <n v="18"/>
    <m/>
    <m/>
    <m/>
    <m/>
  </r>
  <r>
    <x v="15"/>
    <s v="West Liberty University"/>
    <n v="237932"/>
    <x v="5"/>
    <n v="66081"/>
    <n v="68564"/>
    <n v="63252"/>
    <n v="65541"/>
    <n v="1536"/>
    <n v="1970"/>
    <n v="1293"/>
    <m/>
    <m/>
    <n v="1053"/>
    <m/>
    <m/>
    <m/>
    <m/>
    <n v="84"/>
    <n v="78"/>
    <n v="84"/>
    <n v="78"/>
    <m/>
    <m/>
    <m/>
    <m/>
    <m/>
    <m/>
    <m/>
    <m/>
    <m/>
    <m/>
  </r>
  <r>
    <x v="15"/>
    <s v="West Virginia State University "/>
    <n v="237899"/>
    <x v="5"/>
    <n v="78196"/>
    <n v="72669"/>
    <n v="73013"/>
    <n v="67612"/>
    <n v="2820"/>
    <n v="2656"/>
    <n v="2291"/>
    <n v="72"/>
    <m/>
    <n v="2335"/>
    <n v="66"/>
    <m/>
    <m/>
    <m/>
    <n v="577"/>
    <n v="630"/>
    <n v="556"/>
    <n v="594"/>
    <n v="21"/>
    <n v="36"/>
    <m/>
    <m/>
    <m/>
    <m/>
    <m/>
    <m/>
    <m/>
    <m/>
  </r>
  <r>
    <x v="15"/>
    <s v="West Virginia University Institute of Technology"/>
    <n v="237950"/>
    <x v="5"/>
    <n v="35476"/>
    <n v="33099"/>
    <n v="31271"/>
    <n v="29524"/>
    <n v="1405"/>
    <n v="932"/>
    <n v="2500"/>
    <m/>
    <n v="300"/>
    <n v="2430"/>
    <m/>
    <n v="213"/>
    <m/>
    <m/>
    <n v="26"/>
    <n v="2"/>
    <n v="26"/>
    <n v="2"/>
    <m/>
    <m/>
    <m/>
    <m/>
    <m/>
    <m/>
    <m/>
    <m/>
    <m/>
    <m/>
  </r>
  <r>
    <x v="15"/>
    <s v="West Virginia University at Parkersburg"/>
    <n v="237686"/>
    <x v="11"/>
    <n v="84369"/>
    <n v="84169"/>
    <n v="54253"/>
    <n v="53587"/>
    <n v="15791"/>
    <n v="13150"/>
    <n v="14250"/>
    <m/>
    <n v="75"/>
    <n v="16318"/>
    <m/>
    <n v="1114"/>
    <m/>
    <m/>
    <n v="0"/>
    <n v="0"/>
    <m/>
    <m/>
    <m/>
    <m/>
    <m/>
    <m/>
    <m/>
    <m/>
    <m/>
    <m/>
    <m/>
    <m/>
  </r>
  <r>
    <x v="15"/>
    <s v="Pierpont Community &amp; Technical College"/>
    <n v="443492"/>
    <x v="7"/>
    <n v="55730"/>
    <n v="56236"/>
    <n v="30651"/>
    <n v="29872"/>
    <n v="21125"/>
    <n v="21028"/>
    <n v="3954"/>
    <m/>
    <m/>
    <n v="5336"/>
    <m/>
    <m/>
    <m/>
    <m/>
    <n v="0"/>
    <n v="0"/>
    <m/>
    <m/>
    <m/>
    <m/>
    <m/>
    <m/>
    <m/>
    <m/>
    <m/>
    <m/>
    <m/>
    <m/>
  </r>
  <r>
    <x v="15"/>
    <s v="Blue Ridge Community &amp; Technical College"/>
    <n v="446774"/>
    <x v="8"/>
    <n v="28553"/>
    <n v="33268"/>
    <n v="23988"/>
    <n v="23235"/>
    <n v="0"/>
    <n v="5108"/>
    <n v="4523"/>
    <m/>
    <n v="42"/>
    <n v="4925"/>
    <m/>
    <m/>
    <n v="0"/>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3" dataOnRows="1" applyNumberFormats="0" applyBorderFormats="0" applyFontFormats="0" applyPatternFormats="0" applyAlignmentFormats="0" applyWidthHeightFormats="1" dataCaption="Data" updatedVersion="3" asteriskTotals="1" showMemberPropertyTips="0" useAutoFormatting="1" rowGrandTotals="0" colGrandTotals="0" itemPrintTitles="1" createdVersion="1" indent="0" compact="0" compactData="0" gridDropZones="1">
  <location ref="A3:S133" firstHeaderRow="1" firstDataRow="3" firstDataCol="2"/>
  <pivotFields count="73">
    <pivotField axis="axisRow" compact="0" outline="0" subtotalTop="0" showAll="0" includeNewItemsInFilter="1" sortType="ascending">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axis="axisCol" compact="0" outline="0" subtotalTop="0" showAll="0" includeNewItemsInFilter="1" defaultSubtotal="0">
      <items count="15">
        <item x="0"/>
        <item x="1"/>
        <item x="2"/>
        <item x="3"/>
        <item x="4"/>
        <item x="5"/>
        <item x="11"/>
        <item x="6"/>
        <item x="7"/>
        <item x="8"/>
        <item x="9"/>
        <item x="10"/>
        <item x="12"/>
        <item m="1" x="14"/>
        <item x="13"/>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subtotalCaption="?" compact="0" outline="0" subtotalTop="0" showAll="0" includeNewItemsInFilter="1">
      <items count="5">
        <item n="Four-Year" x="2"/>
        <item n="Two-Year" x="1"/>
        <item n="Technical" x="3"/>
        <item h="1" x="0"/>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5"/>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rowItems>
  <colFields count="2">
    <field x="32"/>
    <field x="3"/>
  </colFields>
  <colItems count="17">
    <i>
      <x/>
      <x/>
    </i>
    <i r="1">
      <x v="1"/>
    </i>
    <i r="1">
      <x v="2"/>
    </i>
    <i r="1">
      <x v="3"/>
    </i>
    <i r="1">
      <x v="4"/>
    </i>
    <i r="1">
      <x v="5"/>
    </i>
    <i r="1">
      <x v="12"/>
    </i>
    <i t="default">
      <x/>
    </i>
    <i>
      <x v="1"/>
      <x v="6"/>
    </i>
    <i r="1">
      <x v="7"/>
    </i>
    <i r="1">
      <x v="8"/>
    </i>
    <i r="1">
      <x v="9"/>
    </i>
    <i t="default">
      <x v="1"/>
    </i>
    <i>
      <x v="2"/>
      <x v="10"/>
    </i>
    <i r="1">
      <x v="11"/>
    </i>
    <i r="1">
      <x v="14"/>
    </i>
    <i t="default">
      <x v="2"/>
    </i>
  </colItems>
  <dataFields count="8">
    <dataField name="Sum of OLD-Tot UG SCH Calc" fld="4" baseField="0" baseItem="0"/>
    <dataField name="Sum of Old UG E-Learning" fld="69" baseField="0" baseItem="0"/>
    <dataField name="Sum of Old-Tot G SCH Calc" fld="18" baseField="0" baseItem="0"/>
    <dataField name="Sum of Old G E-Learning" fld="70" baseField="0" baseItem="0"/>
    <dataField name="Sum of NEW-Tot UG SCH Calc" fld="5" baseField="0" baseItem="0"/>
    <dataField name="Sum of New UG E-Learning" fld="71" baseField="0" baseItem="0"/>
    <dataField name="Sum of New-Tot G SCH Calc" fld="19" baseField="0" baseItem="0"/>
    <dataField name="Sum of New G E-Learning" fld="72" baseField="0" baseItem="0"/>
  </dataFields>
  <formats count="148">
    <format dxfId="1745">
      <pivotArea field="3" type="button" dataOnly="0" labelOnly="1" outline="0" axis="axisCol" fieldPosition="1"/>
    </format>
    <format dxfId="1744">
      <pivotArea type="topRight" dataOnly="0" labelOnly="1" outline="0" fieldPosition="0"/>
    </format>
    <format dxfId="1743">
      <pivotArea dataOnly="0" labelOnly="1" grandCol="1" outline="0" fieldPosition="0"/>
    </format>
    <format dxfId="1742">
      <pivotArea dataOnly="0" labelOnly="1" outline="0" offset="IV256" fieldPosition="0">
        <references count="1">
          <reference field="0" count="1">
            <x v="2"/>
          </reference>
        </references>
      </pivotArea>
    </format>
    <format dxfId="1741">
      <pivotArea dataOnly="0" labelOnly="1" outline="0" offset="IV256" fieldPosition="0">
        <references count="1">
          <reference field="0" count="1">
            <x v="3"/>
          </reference>
        </references>
      </pivotArea>
    </format>
    <format dxfId="1740">
      <pivotArea dataOnly="0" labelOnly="1" outline="0" offset="IV256" fieldPosition="0">
        <references count="1">
          <reference field="0" count="1">
            <x v="4"/>
          </reference>
        </references>
      </pivotArea>
    </format>
    <format dxfId="1739">
      <pivotArea dataOnly="0" labelOnly="1" outline="0" offset="IV256" fieldPosition="0">
        <references count="1">
          <reference field="0" count="1">
            <x v="5"/>
          </reference>
        </references>
      </pivotArea>
    </format>
    <format dxfId="1738">
      <pivotArea dataOnly="0" labelOnly="1" outline="0" offset="IV27:IV256" fieldPosition="0">
        <references count="1">
          <reference field="0" count="1">
            <x v="6"/>
          </reference>
        </references>
      </pivotArea>
    </format>
    <format dxfId="1737">
      <pivotArea dataOnly="0" labelOnly="1" outline="0" offset="IV256" fieldPosition="0">
        <references count="1">
          <reference field="0" count="1">
            <x v="7"/>
          </reference>
        </references>
      </pivotArea>
    </format>
    <format dxfId="1736">
      <pivotArea dataOnly="0" labelOnly="1" outline="0" offset="IV256" fieldPosition="0">
        <references count="1">
          <reference field="0" count="1">
            <x v="8"/>
          </reference>
        </references>
      </pivotArea>
    </format>
    <format dxfId="1735">
      <pivotArea dataOnly="0" labelOnly="1" outline="0" offset="IV256" fieldPosition="0">
        <references count="1">
          <reference field="0" count="1">
            <x v="9"/>
          </reference>
        </references>
      </pivotArea>
    </format>
    <format dxfId="1734">
      <pivotArea dataOnly="0" labelOnly="1" outline="0" offset="IV256" fieldPosition="0">
        <references count="1">
          <reference field="0" count="1">
            <x v="10"/>
          </reference>
        </references>
      </pivotArea>
    </format>
    <format dxfId="1733">
      <pivotArea dataOnly="0" labelOnly="1" outline="0" offset="IV256" fieldPosition="0">
        <references count="1">
          <reference field="0" count="1">
            <x v="11"/>
          </reference>
        </references>
      </pivotArea>
    </format>
    <format dxfId="1732">
      <pivotArea dataOnly="0" labelOnly="1" outline="0" offset="IV256" fieldPosition="0">
        <references count="1">
          <reference field="0" count="1">
            <x v="12"/>
          </reference>
        </references>
      </pivotArea>
    </format>
    <format dxfId="1731">
      <pivotArea dataOnly="0" labelOnly="1" outline="0" offset="IV256" fieldPosition="0">
        <references count="1">
          <reference field="0" count="1">
            <x v="13"/>
          </reference>
        </references>
      </pivotArea>
    </format>
    <format dxfId="1730">
      <pivotArea dataOnly="0" labelOnly="1" outline="0" offset="IV256" fieldPosition="0">
        <references count="1">
          <reference field="0" count="1">
            <x v="14"/>
          </reference>
        </references>
      </pivotArea>
    </format>
    <format dxfId="1729">
      <pivotArea type="origin" dataOnly="0" labelOnly="1" outline="0" offset="A2:B2" fieldPosition="0"/>
    </format>
    <format dxfId="1728">
      <pivotArea dataOnly="0" labelOnly="1" outline="0" fieldPosition="0">
        <references count="1">
          <reference field="0" count="0"/>
        </references>
      </pivotArea>
    </format>
    <format dxfId="1727">
      <pivotArea dataOnly="0" labelOnly="1" outline="0" offset="IV1" fieldPosition="0">
        <references count="1">
          <reference field="0" count="1">
            <x v="0"/>
          </reference>
        </references>
      </pivotArea>
    </format>
    <format dxfId="1726">
      <pivotArea type="origin" dataOnly="0" labelOnly="1" outline="0" fieldPosition="0"/>
    </format>
    <format dxfId="1725">
      <pivotArea field="0" type="button" dataOnly="0" labelOnly="1" outline="0" axis="axisRow" fieldPosition="0"/>
    </format>
    <format dxfId="1724">
      <pivotArea field="-2" type="button" dataOnly="0" labelOnly="1" outline="0" axis="axisRow" fieldPosition="1"/>
    </format>
    <format dxfId="1723">
      <pivotArea field="3" type="button" dataOnly="0" labelOnly="1" outline="0" axis="axisCol" fieldPosition="1"/>
    </format>
    <format dxfId="1722">
      <pivotArea type="topRight" dataOnly="0" labelOnly="1" outline="0" fieldPosition="0"/>
    </format>
    <format dxfId="1721">
      <pivotArea dataOnly="0" labelOnly="1" outline="0" offset="IV5:IV6" fieldPosition="0">
        <references count="1">
          <reference field="0" count="1">
            <x v="1"/>
          </reference>
        </references>
      </pivotArea>
    </format>
    <format dxfId="1720">
      <pivotArea dataOnly="0" labelOnly="1" outline="0" offset="IV7:IV8" fieldPosition="0">
        <references count="1">
          <reference field="0" count="1">
            <x v="1"/>
          </reference>
        </references>
      </pivotArea>
    </format>
    <format dxfId="1719">
      <pivotArea dataOnly="0" labelOnly="1" outline="0" offset="IV9:IV10" fieldPosition="0">
        <references count="1">
          <reference field="0" count="1">
            <x v="1"/>
          </reference>
        </references>
      </pivotArea>
    </format>
    <format dxfId="1718">
      <pivotArea dataOnly="0" labelOnly="1" outline="0" offset="IV11:IV12" fieldPosition="0">
        <references count="1">
          <reference field="0" count="1">
            <x v="1"/>
          </reference>
        </references>
      </pivotArea>
    </format>
    <format dxfId="1717">
      <pivotArea dataOnly="0" labelOnly="1" outline="0" offset="IV256" fieldPosition="0">
        <references count="1">
          <reference field="0" count="1">
            <x v="0"/>
          </reference>
        </references>
      </pivotArea>
    </format>
    <format dxfId="1716">
      <pivotArea dataOnly="0" labelOnly="1" grandCol="1" outline="0" offset="IV256" fieldPosition="0"/>
    </format>
    <format dxfId="1715">
      <pivotArea dataOnly="0" labelOnly="1" outline="0" offset="IV256" fieldPosition="0">
        <references count="1">
          <reference field="0" count="1">
            <x v="1"/>
          </reference>
        </references>
      </pivotArea>
    </format>
    <format dxfId="1714">
      <pivotArea dataOnly="0" labelOnly="1" outline="0" offset="IV1" fieldPosition="0">
        <references count="1">
          <reference field="0" count="1">
            <x v="0"/>
          </reference>
        </references>
      </pivotArea>
    </format>
    <format dxfId="1713">
      <pivotArea dataOnly="0" labelOnly="1" outline="0" offset="IV1" fieldPosition="0">
        <references count="1">
          <reference field="0" count="1">
            <x v="1"/>
          </reference>
        </references>
      </pivotArea>
    </format>
    <format dxfId="1712">
      <pivotArea dataOnly="0" labelOnly="1" outline="0" offset="IV1" fieldPosition="0">
        <references count="1">
          <reference field="0" count="1">
            <x v="2"/>
          </reference>
        </references>
      </pivotArea>
    </format>
    <format dxfId="1711">
      <pivotArea dataOnly="0" labelOnly="1" outline="0" offset="IV1" fieldPosition="0">
        <references count="1">
          <reference field="0" count="1">
            <x v="3"/>
          </reference>
        </references>
      </pivotArea>
    </format>
    <format dxfId="1710">
      <pivotArea dataOnly="0" labelOnly="1" outline="0" offset="IV1" fieldPosition="0">
        <references count="1">
          <reference field="0" count="1">
            <x v="4"/>
          </reference>
        </references>
      </pivotArea>
    </format>
    <format dxfId="1709">
      <pivotArea dataOnly="0" labelOnly="1" outline="0" offset="IV256" fieldPosition="0">
        <references count="1">
          <reference field="0" count="1">
            <x v="15"/>
          </reference>
        </references>
      </pivotArea>
    </format>
    <format dxfId="1708">
      <pivotArea outline="0" fieldPosition="0">
        <references count="1">
          <reference field="0" count="1" selected="0">
            <x v="0"/>
          </reference>
        </references>
      </pivotArea>
    </format>
    <format dxfId="1707">
      <pivotArea dataOnly="0" labelOnly="1" outline="0" fieldPosition="0">
        <references count="1">
          <reference field="0" count="1">
            <x v="0"/>
          </reference>
        </references>
      </pivotArea>
    </format>
    <format dxfId="1706">
      <pivotArea dataOnly="0" labelOnly="1" outline="0" fieldPosition="0">
        <references count="2">
          <reference field="4294967294" count="0"/>
          <reference field="0" count="1" selected="0">
            <x v="0"/>
          </reference>
        </references>
      </pivotArea>
    </format>
    <format dxfId="1705">
      <pivotArea type="all" dataOnly="0" outline="0" fieldPosition="0"/>
    </format>
    <format dxfId="1704">
      <pivotArea outline="0" fieldPosition="0"/>
    </format>
    <format dxfId="1703">
      <pivotArea outline="0" fieldPosition="0">
        <references count="3">
          <reference field="4294967294" count="1" selected="0">
            <x v="0"/>
          </reference>
          <reference field="0" count="1" selected="0">
            <x v="0"/>
          </reference>
          <reference field="32" count="2" selected="0" defaultSubtotal="1">
            <x v="0"/>
            <x v="1"/>
          </reference>
        </references>
      </pivotArea>
    </format>
    <format dxfId="1702">
      <pivotArea outline="0" fieldPosition="0">
        <references count="3">
          <reference field="4294967294" count="1" selected="0">
            <x v="0"/>
          </reference>
          <reference field="0" count="1" selected="0">
            <x v="1"/>
          </reference>
          <reference field="32" count="2" selected="0" defaultSubtotal="1">
            <x v="0"/>
            <x v="1"/>
          </reference>
        </references>
      </pivotArea>
    </format>
    <format dxfId="1701">
      <pivotArea outline="0" fieldPosition="0">
        <references count="3">
          <reference field="4294967294" count="1" selected="0">
            <x v="0"/>
          </reference>
          <reference field="0" count="1" selected="0">
            <x v="2"/>
          </reference>
          <reference field="32" count="2" selected="0" defaultSubtotal="1">
            <x v="0"/>
            <x v="1"/>
          </reference>
        </references>
      </pivotArea>
    </format>
    <format dxfId="1700">
      <pivotArea outline="0" fieldPosition="0">
        <references count="3">
          <reference field="4294967294" count="1" selected="0">
            <x v="0"/>
          </reference>
          <reference field="0" count="1" selected="0">
            <x v="3"/>
          </reference>
          <reference field="32" count="2" selected="0" defaultSubtotal="1">
            <x v="0"/>
            <x v="1"/>
          </reference>
        </references>
      </pivotArea>
    </format>
    <format dxfId="1699">
      <pivotArea outline="0" fieldPosition="0">
        <references count="2">
          <reference field="4294967294" count="1" selected="0">
            <x v="0"/>
          </reference>
          <reference field="0" count="1" selected="0">
            <x v="4"/>
          </reference>
        </references>
      </pivotArea>
    </format>
    <format dxfId="1698">
      <pivotArea outline="0" fieldPosition="0">
        <references count="2">
          <reference field="4294967294" count="1" selected="0">
            <x v="0"/>
          </reference>
          <reference field="0" count="1" selected="0">
            <x v="5"/>
          </reference>
        </references>
      </pivotArea>
    </format>
    <format dxfId="1697">
      <pivotArea outline="0" fieldPosition="0">
        <references count="2">
          <reference field="4294967294" count="1" selected="0">
            <x v="0"/>
          </reference>
          <reference field="0" count="1" selected="0">
            <x v="6"/>
          </reference>
        </references>
      </pivotArea>
    </format>
    <format dxfId="1696">
      <pivotArea outline="0" fieldPosition="0">
        <references count="2">
          <reference field="4294967294" count="1" selected="0">
            <x v="0"/>
          </reference>
          <reference field="0" count="1" selected="0">
            <x v="7"/>
          </reference>
        </references>
      </pivotArea>
    </format>
    <format dxfId="1695">
      <pivotArea outline="0" fieldPosition="0">
        <references count="3">
          <reference field="4294967294" count="1" selected="0">
            <x v="0"/>
          </reference>
          <reference field="0" count="1" selected="0">
            <x v="8"/>
          </reference>
          <reference field="32" count="2" selected="0" defaultSubtotal="1">
            <x v="0"/>
            <x v="1"/>
          </reference>
        </references>
      </pivotArea>
    </format>
    <format dxfId="1694">
      <pivotArea outline="0" fieldPosition="0">
        <references count="3">
          <reference field="4294967294" count="1" selected="0">
            <x v="0"/>
          </reference>
          <reference field="0" count="1" selected="0">
            <x v="9"/>
          </reference>
          <reference field="32" count="2" selected="0" defaultSubtotal="1">
            <x v="0"/>
            <x v="1"/>
          </reference>
        </references>
      </pivotArea>
    </format>
    <format dxfId="1693">
      <pivotArea outline="0" fieldPosition="0">
        <references count="3">
          <reference field="4294967294" count="1" selected="0">
            <x v="0"/>
          </reference>
          <reference field="0" count="1" selected="0">
            <x v="10"/>
          </reference>
          <reference field="32" count="2" selected="0" defaultSubtotal="1">
            <x v="0"/>
            <x v="1"/>
          </reference>
        </references>
      </pivotArea>
    </format>
    <format dxfId="1692">
      <pivotArea outline="0" fieldPosition="0">
        <references count="3">
          <reference field="4294967294" count="1" selected="0">
            <x v="0"/>
          </reference>
          <reference field="0" count="1" selected="0">
            <x v="13"/>
          </reference>
          <reference field="32" count="2" selected="0" defaultSubtotal="1">
            <x v="0"/>
            <x v="1"/>
          </reference>
        </references>
      </pivotArea>
    </format>
    <format dxfId="1691">
      <pivotArea outline="0" fieldPosition="0">
        <references count="3">
          <reference field="4294967294" count="1" selected="0">
            <x v="0"/>
          </reference>
          <reference field="0" count="1" selected="0">
            <x v="15"/>
          </reference>
          <reference field="32" count="2" selected="0" defaultSubtotal="1">
            <x v="0"/>
            <x v="1"/>
          </reference>
        </references>
      </pivotArea>
    </format>
    <format dxfId="1690">
      <pivotArea outline="0" fieldPosition="0">
        <references count="3">
          <reference field="4294967294" count="1" selected="0">
            <x v="4"/>
          </reference>
          <reference field="0" count="1" selected="0">
            <x v="0"/>
          </reference>
          <reference field="32" count="2" selected="0" defaultSubtotal="1">
            <x v="0"/>
            <x v="1"/>
          </reference>
        </references>
      </pivotArea>
    </format>
    <format dxfId="1689">
      <pivotArea outline="0" fieldPosition="0">
        <references count="3">
          <reference field="4294967294" count="1" selected="0">
            <x v="4"/>
          </reference>
          <reference field="0" count="1" selected="0">
            <x v="1"/>
          </reference>
          <reference field="32" count="2" selected="0" defaultSubtotal="1">
            <x v="0"/>
            <x v="1"/>
          </reference>
        </references>
      </pivotArea>
    </format>
    <format dxfId="1688">
      <pivotArea outline="0" fieldPosition="0">
        <references count="3">
          <reference field="4294967294" count="1" selected="0">
            <x v="4"/>
          </reference>
          <reference field="0" count="1" selected="0">
            <x v="2"/>
          </reference>
          <reference field="32" count="2" selected="0" defaultSubtotal="1">
            <x v="0"/>
            <x v="1"/>
          </reference>
        </references>
      </pivotArea>
    </format>
    <format dxfId="1687">
      <pivotArea outline="0" fieldPosition="0">
        <references count="3">
          <reference field="4294967294" count="1" selected="0">
            <x v="4"/>
          </reference>
          <reference field="0" count="1" selected="0">
            <x v="3"/>
          </reference>
          <reference field="32" count="2" selected="0" defaultSubtotal="1">
            <x v="0"/>
            <x v="1"/>
          </reference>
        </references>
      </pivotArea>
    </format>
    <format dxfId="1686">
      <pivotArea outline="0" fieldPosition="0">
        <references count="2">
          <reference field="4294967294" count="1" selected="0">
            <x v="4"/>
          </reference>
          <reference field="0" count="1" selected="0">
            <x v="4"/>
          </reference>
        </references>
      </pivotArea>
    </format>
    <format dxfId="1685">
      <pivotArea outline="0" fieldPosition="0">
        <references count="2">
          <reference field="4294967294" count="1" selected="0">
            <x v="4"/>
          </reference>
          <reference field="0" count="1" selected="0">
            <x v="5"/>
          </reference>
        </references>
      </pivotArea>
    </format>
    <format dxfId="1684">
      <pivotArea outline="0" fieldPosition="0">
        <references count="2">
          <reference field="4294967294" count="1" selected="0">
            <x v="4"/>
          </reference>
          <reference field="0" count="1" selected="0">
            <x v="6"/>
          </reference>
        </references>
      </pivotArea>
    </format>
    <format dxfId="1683">
      <pivotArea outline="0" fieldPosition="0">
        <references count="3">
          <reference field="4294967294" count="1" selected="0">
            <x v="4"/>
          </reference>
          <reference field="0" count="1" selected="0">
            <x v="7"/>
          </reference>
          <reference field="32" count="2" selected="0" defaultSubtotal="1">
            <x v="0"/>
            <x v="1"/>
          </reference>
        </references>
      </pivotArea>
    </format>
    <format dxfId="1682">
      <pivotArea outline="0" fieldPosition="0">
        <references count="3">
          <reference field="4294967294" count="1" selected="0">
            <x v="4"/>
          </reference>
          <reference field="0" count="1" selected="0">
            <x v="8"/>
          </reference>
          <reference field="32" count="2" selected="0" defaultSubtotal="1">
            <x v="0"/>
            <x v="1"/>
          </reference>
        </references>
      </pivotArea>
    </format>
    <format dxfId="1681">
      <pivotArea outline="0" fieldPosition="0">
        <references count="3">
          <reference field="4294967294" count="1" selected="0">
            <x v="4"/>
          </reference>
          <reference field="0" count="1" selected="0">
            <x v="9"/>
          </reference>
          <reference field="32" count="2" selected="0" defaultSubtotal="1">
            <x v="0"/>
            <x v="1"/>
          </reference>
        </references>
      </pivotArea>
    </format>
    <format dxfId="1680">
      <pivotArea outline="0" fieldPosition="0">
        <references count="3">
          <reference field="4294967294" count="1" selected="0">
            <x v="4"/>
          </reference>
          <reference field="0" count="1" selected="0">
            <x v="10"/>
          </reference>
          <reference field="32" count="2" selected="0" defaultSubtotal="1">
            <x v="0"/>
            <x v="1"/>
          </reference>
        </references>
      </pivotArea>
    </format>
    <format dxfId="1679">
      <pivotArea outline="0" fieldPosition="0">
        <references count="3">
          <reference field="4294967294" count="1" selected="0">
            <x v="4"/>
          </reference>
          <reference field="0" count="1" selected="0">
            <x v="13"/>
          </reference>
          <reference field="32" count="2" selected="0" defaultSubtotal="1">
            <x v="0"/>
            <x v="1"/>
          </reference>
        </references>
      </pivotArea>
    </format>
    <format dxfId="1678">
      <pivotArea outline="0" fieldPosition="0">
        <references count="3">
          <reference field="4294967294" count="1" selected="0">
            <x v="4"/>
          </reference>
          <reference field="0" count="1" selected="0">
            <x v="15"/>
          </reference>
          <reference field="32" count="2" selected="0" defaultSubtotal="1">
            <x v="0"/>
            <x v="1"/>
          </reference>
        </references>
      </pivotArea>
    </format>
    <format dxfId="1677">
      <pivotArea outline="0" fieldPosition="0">
        <references count="3">
          <reference field="4294967294" count="1" selected="0">
            <x v="2"/>
          </reference>
          <reference field="0" count="1" selected="0">
            <x v="0"/>
          </reference>
          <reference field="32" count="2" selected="0" defaultSubtotal="1">
            <x v="0"/>
            <x v="1"/>
          </reference>
        </references>
      </pivotArea>
    </format>
    <format dxfId="1676">
      <pivotArea dataOnly="0" labelOnly="1" outline="0" fieldPosition="0">
        <references count="2">
          <reference field="4294967294" count="1">
            <x v="2"/>
          </reference>
          <reference field="0" count="1" selected="0">
            <x v="0"/>
          </reference>
        </references>
      </pivotArea>
    </format>
    <format dxfId="1675">
      <pivotArea outline="0" fieldPosition="0">
        <references count="3">
          <reference field="4294967294" count="1" selected="0">
            <x v="2"/>
          </reference>
          <reference field="0" count="1" selected="0">
            <x v="1"/>
          </reference>
          <reference field="32" count="1" selected="0" defaultSubtotal="1">
            <x v="0"/>
          </reference>
        </references>
      </pivotArea>
    </format>
    <format dxfId="1674">
      <pivotArea outline="0" fieldPosition="0">
        <references count="3">
          <reference field="4294967294" count="1" selected="0">
            <x v="2"/>
          </reference>
          <reference field="0" count="1" selected="0">
            <x v="2"/>
          </reference>
          <reference field="32" count="1" selected="0" defaultSubtotal="1">
            <x v="0"/>
          </reference>
        </references>
      </pivotArea>
    </format>
    <format dxfId="1673">
      <pivotArea outline="0" fieldPosition="0">
        <references count="3">
          <reference field="4294967294" count="1" selected="0">
            <x v="2"/>
          </reference>
          <reference field="0" count="1" selected="0">
            <x v="3"/>
          </reference>
          <reference field="32" count="1" selected="0" defaultSubtotal="1">
            <x v="0"/>
          </reference>
        </references>
      </pivotArea>
    </format>
    <format dxfId="1672">
      <pivotArea outline="0" fieldPosition="0">
        <references count="3">
          <reference field="4294967294" count="1" selected="0">
            <x v="2"/>
          </reference>
          <reference field="0" count="1" selected="0">
            <x v="4"/>
          </reference>
          <reference field="32" count="1" selected="0" defaultSubtotal="1">
            <x v="0"/>
          </reference>
        </references>
      </pivotArea>
    </format>
    <format dxfId="1671">
      <pivotArea outline="0" fieldPosition="0">
        <references count="3">
          <reference field="4294967294" count="1" selected="0">
            <x v="2"/>
          </reference>
          <reference field="0" count="1" selected="0">
            <x v="5"/>
          </reference>
          <reference field="32" count="1" selected="0" defaultSubtotal="1">
            <x v="0"/>
          </reference>
        </references>
      </pivotArea>
    </format>
    <format dxfId="1670">
      <pivotArea outline="0" fieldPosition="0">
        <references count="3">
          <reference field="4294967294" count="1" selected="0">
            <x v="2"/>
          </reference>
          <reference field="0" count="1" selected="0">
            <x v="6"/>
          </reference>
          <reference field="32" count="1" selected="0" defaultSubtotal="1">
            <x v="0"/>
          </reference>
        </references>
      </pivotArea>
    </format>
    <format dxfId="1669">
      <pivotArea outline="0" fieldPosition="0">
        <references count="3">
          <reference field="4294967294" count="1" selected="0">
            <x v="2"/>
          </reference>
          <reference field="0" count="1" selected="0">
            <x v="7"/>
          </reference>
          <reference field="32" count="1" selected="0" defaultSubtotal="1">
            <x v="0"/>
          </reference>
        </references>
      </pivotArea>
    </format>
    <format dxfId="1668">
      <pivotArea outline="0" fieldPosition="0">
        <references count="3">
          <reference field="4294967294" count="1" selected="0">
            <x v="2"/>
          </reference>
          <reference field="0" count="1" selected="0">
            <x v="8"/>
          </reference>
          <reference field="32" count="1" selected="0" defaultSubtotal="1">
            <x v="0"/>
          </reference>
        </references>
      </pivotArea>
    </format>
    <format dxfId="1667">
      <pivotArea outline="0" fieldPosition="0">
        <references count="3">
          <reference field="4294967294" count="1" selected="0">
            <x v="2"/>
          </reference>
          <reference field="0" count="1" selected="0">
            <x v="9"/>
          </reference>
          <reference field="32" count="1" selected="0" defaultSubtotal="1">
            <x v="0"/>
          </reference>
        </references>
      </pivotArea>
    </format>
    <format dxfId="1666">
      <pivotArea outline="0" fieldPosition="0">
        <references count="3">
          <reference field="4294967294" count="1" selected="0">
            <x v="2"/>
          </reference>
          <reference field="0" count="1" selected="0">
            <x v="10"/>
          </reference>
          <reference field="32" count="1" selected="0" defaultSubtotal="1">
            <x v="0"/>
          </reference>
        </references>
      </pivotArea>
    </format>
    <format dxfId="1665">
      <pivotArea outline="0" fieldPosition="0">
        <references count="3">
          <reference field="4294967294" count="1" selected="0">
            <x v="2"/>
          </reference>
          <reference field="0" count="1" selected="0">
            <x v="13"/>
          </reference>
          <reference field="32" count="1" selected="0" defaultSubtotal="1">
            <x v="0"/>
          </reference>
        </references>
      </pivotArea>
    </format>
    <format dxfId="1664">
      <pivotArea outline="0" fieldPosition="0">
        <references count="3">
          <reference field="4294967294" count="1" selected="0">
            <x v="2"/>
          </reference>
          <reference field="0" count="1" selected="0">
            <x v="15"/>
          </reference>
          <reference field="32" count="1" selected="0" defaultSubtotal="1">
            <x v="0"/>
          </reference>
        </references>
      </pivotArea>
    </format>
    <format dxfId="1663">
      <pivotArea outline="0" fieldPosition="0">
        <references count="3">
          <reference field="4294967294" count="1" selected="0">
            <x v="6"/>
          </reference>
          <reference field="0" count="1" selected="0">
            <x v="15"/>
          </reference>
          <reference field="32" count="1" selected="0" defaultSubtotal="1">
            <x v="0"/>
          </reference>
        </references>
      </pivotArea>
    </format>
    <format dxfId="1662">
      <pivotArea outline="0" fieldPosition="0">
        <references count="3">
          <reference field="4294967294" count="1" selected="0">
            <x v="6"/>
          </reference>
          <reference field="0" count="1" selected="0">
            <x v="13"/>
          </reference>
          <reference field="32" count="1" selected="0" defaultSubtotal="1">
            <x v="0"/>
          </reference>
        </references>
      </pivotArea>
    </format>
    <format dxfId="1661">
      <pivotArea outline="0" fieldPosition="0">
        <references count="3">
          <reference field="4294967294" count="1" selected="0">
            <x v="6"/>
          </reference>
          <reference field="0" count="1" selected="0">
            <x v="10"/>
          </reference>
          <reference field="32" count="1" selected="0" defaultSubtotal="1">
            <x v="0"/>
          </reference>
        </references>
      </pivotArea>
    </format>
    <format dxfId="1660">
      <pivotArea outline="0" fieldPosition="0">
        <references count="3">
          <reference field="4294967294" count="1" selected="0">
            <x v="6"/>
          </reference>
          <reference field="0" count="1" selected="0">
            <x v="9"/>
          </reference>
          <reference field="32" count="1" selected="0" defaultSubtotal="1">
            <x v="0"/>
          </reference>
        </references>
      </pivotArea>
    </format>
    <format dxfId="1659">
      <pivotArea outline="0" fieldPosition="0">
        <references count="3">
          <reference field="4294967294" count="1" selected="0">
            <x v="6"/>
          </reference>
          <reference field="0" count="1" selected="0">
            <x v="8"/>
          </reference>
          <reference field="32" count="1" selected="0" defaultSubtotal="1">
            <x v="0"/>
          </reference>
        </references>
      </pivotArea>
    </format>
    <format dxfId="1658">
      <pivotArea outline="0" fieldPosition="0">
        <references count="3">
          <reference field="4294967294" count="1" selected="0">
            <x v="6"/>
          </reference>
          <reference field="0" count="1" selected="0">
            <x v="7"/>
          </reference>
          <reference field="32" count="1" selected="0" defaultSubtotal="1">
            <x v="0"/>
          </reference>
        </references>
      </pivotArea>
    </format>
    <format dxfId="1657">
      <pivotArea outline="0" fieldPosition="0">
        <references count="3">
          <reference field="4294967294" count="1" selected="0">
            <x v="6"/>
          </reference>
          <reference field="0" count="1" selected="0">
            <x v="6"/>
          </reference>
          <reference field="32" count="1" selected="0" defaultSubtotal="1">
            <x v="0"/>
          </reference>
        </references>
      </pivotArea>
    </format>
    <format dxfId="1656">
      <pivotArea outline="0" fieldPosition="0">
        <references count="3">
          <reference field="4294967294" count="1" selected="0">
            <x v="6"/>
          </reference>
          <reference field="0" count="1" selected="0">
            <x v="5"/>
          </reference>
          <reference field="32" count="1" selected="0" defaultSubtotal="1">
            <x v="0"/>
          </reference>
        </references>
      </pivotArea>
    </format>
    <format dxfId="1655">
      <pivotArea outline="0" fieldPosition="0">
        <references count="3">
          <reference field="4294967294" count="1" selected="0">
            <x v="6"/>
          </reference>
          <reference field="0" count="1" selected="0">
            <x v="4"/>
          </reference>
          <reference field="32" count="1" selected="0" defaultSubtotal="1">
            <x v="0"/>
          </reference>
        </references>
      </pivotArea>
    </format>
    <format dxfId="1654">
      <pivotArea outline="0" fieldPosition="0">
        <references count="3">
          <reference field="4294967294" count="1" selected="0">
            <x v="6"/>
          </reference>
          <reference field="0" count="1" selected="0">
            <x v="3"/>
          </reference>
          <reference field="32" count="1" selected="0" defaultSubtotal="1">
            <x v="0"/>
          </reference>
        </references>
      </pivotArea>
    </format>
    <format dxfId="1653">
      <pivotArea outline="0" fieldPosition="0">
        <references count="3">
          <reference field="4294967294" count="1" selected="0">
            <x v="6"/>
          </reference>
          <reference field="0" count="1" selected="0">
            <x v="2"/>
          </reference>
          <reference field="32" count="1" selected="0" defaultSubtotal="1">
            <x v="0"/>
          </reference>
        </references>
      </pivotArea>
    </format>
    <format dxfId="1652">
      <pivotArea outline="0" fieldPosition="0">
        <references count="3">
          <reference field="4294967294" count="1" selected="0">
            <x v="6"/>
          </reference>
          <reference field="0" count="1" selected="0">
            <x v="1"/>
          </reference>
          <reference field="32" count="1" selected="0" defaultSubtotal="1">
            <x v="0"/>
          </reference>
        </references>
      </pivotArea>
    </format>
    <format dxfId="1651">
      <pivotArea outline="0" fieldPosition="0">
        <references count="3">
          <reference field="4294967294" count="1" selected="0">
            <x v="6"/>
          </reference>
          <reference field="0" count="1" selected="0">
            <x v="0"/>
          </reference>
          <reference field="32" count="1" selected="0" defaultSubtotal="1">
            <x v="0"/>
          </reference>
        </references>
      </pivotArea>
    </format>
    <format dxfId="1650">
      <pivotArea outline="0" fieldPosition="0">
        <references count="3">
          <reference field="4294967294" count="1" selected="0">
            <x v="1"/>
          </reference>
          <reference field="0" count="1" selected="0">
            <x v="0"/>
          </reference>
          <reference field="32" count="2" selected="0" defaultSubtotal="1">
            <x v="0"/>
            <x v="1"/>
          </reference>
        </references>
      </pivotArea>
    </format>
    <format dxfId="1649">
      <pivotArea outline="0" fieldPosition="0">
        <references count="3">
          <reference field="4294967294" count="1" selected="0">
            <x v="1"/>
          </reference>
          <reference field="0" count="1" selected="0">
            <x v="1"/>
          </reference>
          <reference field="32" count="2" selected="0" defaultSubtotal="1">
            <x v="0"/>
            <x v="1"/>
          </reference>
        </references>
      </pivotArea>
    </format>
    <format dxfId="1648">
      <pivotArea outline="0" fieldPosition="0">
        <references count="3">
          <reference field="4294967294" count="1" selected="0">
            <x v="1"/>
          </reference>
          <reference field="0" count="1" selected="0">
            <x v="2"/>
          </reference>
          <reference field="32" count="2" selected="0" defaultSubtotal="1">
            <x v="0"/>
            <x v="1"/>
          </reference>
        </references>
      </pivotArea>
    </format>
    <format dxfId="1647">
      <pivotArea outline="0" fieldPosition="0">
        <references count="3">
          <reference field="4294967294" count="1" selected="0">
            <x v="1"/>
          </reference>
          <reference field="0" count="1" selected="0">
            <x v="3"/>
          </reference>
          <reference field="32" count="2" selected="0" defaultSubtotal="1">
            <x v="0"/>
            <x v="1"/>
          </reference>
        </references>
      </pivotArea>
    </format>
    <format dxfId="1646">
      <pivotArea outline="0" fieldPosition="0">
        <references count="2">
          <reference field="4294967294" count="1" selected="0">
            <x v="1"/>
          </reference>
          <reference field="0" count="1" selected="0">
            <x v="4"/>
          </reference>
        </references>
      </pivotArea>
    </format>
    <format dxfId="1645">
      <pivotArea outline="0" fieldPosition="0">
        <references count="2">
          <reference field="4294967294" count="1" selected="0">
            <x v="1"/>
          </reference>
          <reference field="0" count="1" selected="0">
            <x v="5"/>
          </reference>
        </references>
      </pivotArea>
    </format>
    <format dxfId="1644">
      <pivotArea outline="0" fieldPosition="0">
        <references count="2">
          <reference field="4294967294" count="1" selected="0">
            <x v="1"/>
          </reference>
          <reference field="0" count="1" selected="0">
            <x v="6"/>
          </reference>
        </references>
      </pivotArea>
    </format>
    <format dxfId="1643">
      <pivotArea outline="0" fieldPosition="0">
        <references count="2">
          <reference field="4294967294" count="1" selected="0">
            <x v="1"/>
          </reference>
          <reference field="0" count="1" selected="0">
            <x v="7"/>
          </reference>
        </references>
      </pivotArea>
    </format>
    <format dxfId="1642">
      <pivotArea outline="0" fieldPosition="0">
        <references count="3">
          <reference field="4294967294" count="1" selected="0">
            <x v="1"/>
          </reference>
          <reference field="0" count="1" selected="0">
            <x v="8"/>
          </reference>
          <reference field="32" count="2" selected="0" defaultSubtotal="1">
            <x v="0"/>
            <x v="1"/>
          </reference>
        </references>
      </pivotArea>
    </format>
    <format dxfId="1641">
      <pivotArea outline="0" fieldPosition="0">
        <references count="3">
          <reference field="4294967294" count="1" selected="0">
            <x v="1"/>
          </reference>
          <reference field="0" count="1" selected="0">
            <x v="9"/>
          </reference>
          <reference field="32" count="2" selected="0" defaultSubtotal="1">
            <x v="0"/>
            <x v="1"/>
          </reference>
        </references>
      </pivotArea>
    </format>
    <format dxfId="1640">
      <pivotArea outline="0" fieldPosition="0">
        <references count="3">
          <reference field="4294967294" count="1" selected="0">
            <x v="1"/>
          </reference>
          <reference field="0" count="1" selected="0">
            <x v="10"/>
          </reference>
          <reference field="32" count="2" selected="0" defaultSubtotal="1">
            <x v="0"/>
            <x v="1"/>
          </reference>
        </references>
      </pivotArea>
    </format>
    <format dxfId="1639">
      <pivotArea outline="0" fieldPosition="0">
        <references count="3">
          <reference field="4294967294" count="1" selected="0">
            <x v="1"/>
          </reference>
          <reference field="0" count="1" selected="0">
            <x v="13"/>
          </reference>
          <reference field="32" count="2" selected="0" defaultSubtotal="1">
            <x v="0"/>
            <x v="1"/>
          </reference>
        </references>
      </pivotArea>
    </format>
    <format dxfId="1638">
      <pivotArea outline="0" fieldPosition="0">
        <references count="3">
          <reference field="4294967294" count="1" selected="0">
            <x v="1"/>
          </reference>
          <reference field="0" count="1" selected="0">
            <x v="15"/>
          </reference>
          <reference field="32" count="2" selected="0" defaultSubtotal="1">
            <x v="0"/>
            <x v="1"/>
          </reference>
        </references>
      </pivotArea>
    </format>
    <format dxfId="1637">
      <pivotArea outline="0" fieldPosition="0">
        <references count="3">
          <reference field="4294967294" count="1" selected="0">
            <x v="5"/>
          </reference>
          <reference field="0" count="1" selected="0">
            <x v="15"/>
          </reference>
          <reference field="32" count="2" selected="0" defaultSubtotal="1">
            <x v="0"/>
            <x v="1"/>
          </reference>
        </references>
      </pivotArea>
    </format>
    <format dxfId="1636">
      <pivotArea outline="0" fieldPosition="0">
        <references count="3">
          <reference field="4294967294" count="1" selected="0">
            <x v="5"/>
          </reference>
          <reference field="0" count="1" selected="0">
            <x v="13"/>
          </reference>
          <reference field="32" count="2" selected="0" defaultSubtotal="1">
            <x v="0"/>
            <x v="1"/>
          </reference>
        </references>
      </pivotArea>
    </format>
    <format dxfId="1635">
      <pivotArea outline="0" fieldPosition="0">
        <references count="3">
          <reference field="4294967294" count="1" selected="0">
            <x v="5"/>
          </reference>
          <reference field="0" count="1" selected="0">
            <x v="10"/>
          </reference>
          <reference field="32" count="2" selected="0" defaultSubtotal="1">
            <x v="0"/>
            <x v="1"/>
          </reference>
        </references>
      </pivotArea>
    </format>
    <format dxfId="1634">
      <pivotArea outline="0" fieldPosition="0">
        <references count="3">
          <reference field="4294967294" count="1" selected="0">
            <x v="5"/>
          </reference>
          <reference field="0" count="1" selected="0">
            <x v="9"/>
          </reference>
          <reference field="32" count="2" selected="0" defaultSubtotal="1">
            <x v="0"/>
            <x v="1"/>
          </reference>
        </references>
      </pivotArea>
    </format>
    <format dxfId="1633">
      <pivotArea outline="0" fieldPosition="0">
        <references count="3">
          <reference field="4294967294" count="1" selected="0">
            <x v="5"/>
          </reference>
          <reference field="0" count="1" selected="0">
            <x v="8"/>
          </reference>
          <reference field="32" count="2" selected="0" defaultSubtotal="1">
            <x v="0"/>
            <x v="1"/>
          </reference>
        </references>
      </pivotArea>
    </format>
    <format dxfId="1632">
      <pivotArea outline="0" fieldPosition="0">
        <references count="3">
          <reference field="4294967294" count="1" selected="0">
            <x v="5"/>
          </reference>
          <reference field="0" count="1" selected="0">
            <x v="7"/>
          </reference>
          <reference field="32" count="2" selected="0" defaultSubtotal="1">
            <x v="0"/>
            <x v="1"/>
          </reference>
        </references>
      </pivotArea>
    </format>
    <format dxfId="1631">
      <pivotArea outline="0" fieldPosition="0">
        <references count="3">
          <reference field="4294967294" count="1" selected="0">
            <x v="5"/>
          </reference>
          <reference field="0" count="1" selected="0">
            <x v="6"/>
          </reference>
          <reference field="32" count="2" selected="0" defaultSubtotal="1">
            <x v="0"/>
            <x v="1"/>
          </reference>
        </references>
      </pivotArea>
    </format>
    <format dxfId="1630">
      <pivotArea outline="0" fieldPosition="0">
        <references count="4">
          <reference field="4294967294" count="1" selected="0">
            <x v="5"/>
          </reference>
          <reference field="0" count="1" selected="0">
            <x v="6"/>
          </reference>
          <reference field="3" count="1" selected="0">
            <x v="10"/>
          </reference>
          <reference field="32" count="1" selected="0">
            <x v="2"/>
          </reference>
        </references>
      </pivotArea>
    </format>
    <format dxfId="1629">
      <pivotArea outline="0" fieldPosition="0">
        <references count="2">
          <reference field="4294967294" count="1" selected="0">
            <x v="5"/>
          </reference>
          <reference field="0" count="1" selected="0">
            <x v="5"/>
          </reference>
        </references>
      </pivotArea>
    </format>
    <format dxfId="1628">
      <pivotArea outline="0" fieldPosition="0">
        <references count="2">
          <reference field="4294967294" count="1" selected="0">
            <x v="5"/>
          </reference>
          <reference field="0" count="1" selected="0">
            <x v="4"/>
          </reference>
        </references>
      </pivotArea>
    </format>
    <format dxfId="1627">
      <pivotArea outline="0" fieldPosition="0">
        <references count="3">
          <reference field="4294967294" count="1" selected="0">
            <x v="5"/>
          </reference>
          <reference field="0" count="1" selected="0">
            <x v="3"/>
          </reference>
          <reference field="32" count="2" selected="0" defaultSubtotal="1">
            <x v="0"/>
            <x v="1"/>
          </reference>
        </references>
      </pivotArea>
    </format>
    <format dxfId="1626">
      <pivotArea outline="0" fieldPosition="0">
        <references count="3">
          <reference field="4294967294" count="1" selected="0">
            <x v="5"/>
          </reference>
          <reference field="0" count="1" selected="0">
            <x v="1"/>
          </reference>
          <reference field="32" count="2" selected="0" defaultSubtotal="1">
            <x v="0"/>
            <x v="1"/>
          </reference>
        </references>
      </pivotArea>
    </format>
    <format dxfId="1625">
      <pivotArea outline="0" fieldPosition="0">
        <references count="3">
          <reference field="4294967294" count="1" selected="0">
            <x v="5"/>
          </reference>
          <reference field="0" count="1" selected="0">
            <x v="0"/>
          </reference>
          <reference field="32" count="2" selected="0" defaultSubtotal="1">
            <x v="0"/>
            <x v="1"/>
          </reference>
        </references>
      </pivotArea>
    </format>
    <format dxfId="1624">
      <pivotArea outline="0" fieldPosition="0">
        <references count="3">
          <reference field="4294967294" count="1" selected="0">
            <x v="3"/>
          </reference>
          <reference field="0" count="1" selected="0">
            <x v="0"/>
          </reference>
          <reference field="32" count="1" selected="0" defaultSubtotal="1">
            <x v="0"/>
          </reference>
        </references>
      </pivotArea>
    </format>
    <format dxfId="1623">
      <pivotArea outline="0" fieldPosition="0">
        <references count="3">
          <reference field="4294967294" count="1" selected="0">
            <x v="3"/>
          </reference>
          <reference field="0" count="1" selected="0">
            <x v="1"/>
          </reference>
          <reference field="32" count="1" selected="0" defaultSubtotal="1">
            <x v="0"/>
          </reference>
        </references>
      </pivotArea>
    </format>
    <format dxfId="1622">
      <pivotArea outline="0" fieldPosition="0">
        <references count="3">
          <reference field="4294967294" count="1" selected="0">
            <x v="5"/>
          </reference>
          <reference field="0" count="1" selected="0">
            <x v="2"/>
          </reference>
          <reference field="32" count="1" selected="0" defaultSubtotal="1">
            <x v="0"/>
          </reference>
        </references>
      </pivotArea>
    </format>
    <format dxfId="1621">
      <pivotArea outline="0" fieldPosition="0">
        <references count="3">
          <reference field="4294967294" count="1" selected="0">
            <x v="3"/>
          </reference>
          <reference field="0" count="1" selected="0">
            <x v="2"/>
          </reference>
          <reference field="32" count="1" selected="0" defaultSubtotal="1">
            <x v="0"/>
          </reference>
        </references>
      </pivotArea>
    </format>
    <format dxfId="1620">
      <pivotArea outline="0" fieldPosition="0">
        <references count="4">
          <reference field="4294967294" count="1" selected="0">
            <x v="5"/>
          </reference>
          <reference field="0" count="1" selected="0">
            <x v="2"/>
          </reference>
          <reference field="3" count="2" selected="0">
            <x v="8"/>
            <x v="9"/>
          </reference>
          <reference field="32" count="1" selected="0">
            <x v="1"/>
          </reference>
        </references>
      </pivotArea>
    </format>
    <format dxfId="1619">
      <pivotArea outline="0" fieldPosition="0">
        <references count="3">
          <reference field="4294967294" count="1" selected="0">
            <x v="5"/>
          </reference>
          <reference field="0" count="1" selected="0">
            <x v="2"/>
          </reference>
          <reference field="32" count="1" selected="0" defaultSubtotal="1">
            <x v="1"/>
          </reference>
        </references>
      </pivotArea>
    </format>
    <format dxfId="1618">
      <pivotArea outline="0" fieldPosition="0">
        <references count="3">
          <reference field="4294967294" count="1" selected="0">
            <x v="3"/>
          </reference>
          <reference field="0" count="1" selected="0">
            <x v="3"/>
          </reference>
          <reference field="32" count="1" selected="0" defaultSubtotal="1">
            <x v="0"/>
          </reference>
        </references>
      </pivotArea>
    </format>
    <format dxfId="1617">
      <pivotArea outline="0" fieldPosition="0">
        <references count="3">
          <reference field="4294967294" count="1" selected="0">
            <x v="3"/>
          </reference>
          <reference field="0" count="1" selected="0">
            <x v="4"/>
          </reference>
          <reference field="32" count="1" selected="0" defaultSubtotal="1">
            <x v="0"/>
          </reference>
        </references>
      </pivotArea>
    </format>
    <format dxfId="1616">
      <pivotArea outline="0" fieldPosition="0">
        <references count="3">
          <reference field="4294967294" count="1" selected="0">
            <x v="3"/>
          </reference>
          <reference field="0" count="1" selected="0">
            <x v="5"/>
          </reference>
          <reference field="32" count="1" selected="0" defaultSubtotal="1">
            <x v="0"/>
          </reference>
        </references>
      </pivotArea>
    </format>
    <format dxfId="1615">
      <pivotArea outline="0" fieldPosition="0">
        <references count="3">
          <reference field="4294967294" count="1" selected="0">
            <x v="3"/>
          </reference>
          <reference field="0" count="1" selected="0">
            <x v="6"/>
          </reference>
          <reference field="32" count="1" selected="0" defaultSubtotal="1">
            <x v="0"/>
          </reference>
        </references>
      </pivotArea>
    </format>
    <format dxfId="1614">
      <pivotArea outline="0" fieldPosition="0">
        <references count="3">
          <reference field="4294967294" count="1" selected="0">
            <x v="3"/>
          </reference>
          <reference field="0" count="1" selected="0">
            <x v="7"/>
          </reference>
          <reference field="32" count="1" selected="0" defaultSubtotal="1">
            <x v="0"/>
          </reference>
        </references>
      </pivotArea>
    </format>
    <format dxfId="1613">
      <pivotArea outline="0" fieldPosition="0">
        <references count="3">
          <reference field="4294967294" count="1" selected="0">
            <x v="3"/>
          </reference>
          <reference field="0" count="1" selected="0">
            <x v="8"/>
          </reference>
          <reference field="32" count="1" selected="0" defaultSubtotal="1">
            <x v="0"/>
          </reference>
        </references>
      </pivotArea>
    </format>
    <format dxfId="1612">
      <pivotArea outline="0" fieldPosition="0">
        <references count="3">
          <reference field="4294967294" count="1" selected="0">
            <x v="3"/>
          </reference>
          <reference field="0" count="1" selected="0">
            <x v="9"/>
          </reference>
          <reference field="32" count="1" selected="0" defaultSubtotal="1">
            <x v="0"/>
          </reference>
        </references>
      </pivotArea>
    </format>
    <format dxfId="1611">
      <pivotArea outline="0" fieldPosition="0">
        <references count="3">
          <reference field="4294967294" count="1" selected="0">
            <x v="3"/>
          </reference>
          <reference field="0" count="1" selected="0">
            <x v="10"/>
          </reference>
          <reference field="32" count="1" selected="0" defaultSubtotal="1">
            <x v="0"/>
          </reference>
        </references>
      </pivotArea>
    </format>
    <format dxfId="1610">
      <pivotArea outline="0" fieldPosition="0">
        <references count="3">
          <reference field="4294967294" count="1" selected="0">
            <x v="3"/>
          </reference>
          <reference field="0" count="1" selected="0">
            <x v="13"/>
          </reference>
          <reference field="32" count="1" selected="0" defaultSubtotal="1">
            <x v="0"/>
          </reference>
        </references>
      </pivotArea>
    </format>
    <format dxfId="1609">
      <pivotArea outline="0" fieldPosition="0">
        <references count="3">
          <reference field="4294967294" count="1" selected="0">
            <x v="3"/>
          </reference>
          <reference field="0" count="1" selected="0">
            <x v="15"/>
          </reference>
          <reference field="32" count="1" selected="0" defaultSubtotal="1">
            <x v="0"/>
          </reference>
        </references>
      </pivotArea>
    </format>
    <format dxfId="1608">
      <pivotArea outline="0" fieldPosition="0">
        <references count="1">
          <reference field="0" count="1" selected="0">
            <x v="0"/>
          </reference>
        </references>
      </pivotArea>
    </format>
    <format dxfId="1607">
      <pivotArea dataOnly="0" labelOnly="1" outline="0" fieldPosition="0">
        <references count="1">
          <reference field="0" count="1">
            <x v="0"/>
          </reference>
        </references>
      </pivotArea>
    </format>
    <format dxfId="1606">
      <pivotArea dataOnly="0" labelOnly="1" outline="0" fieldPosition="0">
        <references count="2">
          <reference field="4294967294" count="0"/>
          <reference field="0" count="1" selected="0">
            <x v="0"/>
          </reference>
        </references>
      </pivotArea>
    </format>
    <format dxfId="1605">
      <pivotArea outline="0" fieldPosition="0">
        <references count="1">
          <reference field="0" count="1" selected="0">
            <x v="15"/>
          </reference>
        </references>
      </pivotArea>
    </format>
    <format dxfId="1604">
      <pivotArea dataOnly="0" labelOnly="1" outline="0" fieldPosition="0">
        <references count="1">
          <reference field="0" count="1">
            <x v="15"/>
          </reference>
        </references>
      </pivotArea>
    </format>
    <format dxfId="1603">
      <pivotArea dataOnly="0" labelOnly="1" outline="0" fieldPosition="0">
        <references count="2">
          <reference field="4294967294" count="0"/>
          <reference field="0" count="1" selected="0">
            <x v="15"/>
          </reference>
        </references>
      </pivotArea>
    </format>
    <format dxfId="1602">
      <pivotArea outline="0" fieldPosition="0">
        <references count="1">
          <reference field="0" count="1" selected="0">
            <x v="12"/>
          </reference>
        </references>
      </pivotArea>
    </format>
    <format dxfId="1601">
      <pivotArea dataOnly="0" labelOnly="1" outline="0" fieldPosition="0">
        <references count="1">
          <reference field="0" count="1">
            <x v="12"/>
          </reference>
        </references>
      </pivotArea>
    </format>
    <format dxfId="1600">
      <pivotArea dataOnly="0" labelOnly="1" outline="0" fieldPosition="0">
        <references count="2">
          <reference field="4294967294" count="0"/>
          <reference field="0" count="1" selected="0">
            <x v="12"/>
          </reference>
        </references>
      </pivotArea>
    </format>
    <format dxfId="1599">
      <pivotArea outline="0" fieldPosition="0">
        <references count="3">
          <reference field="4294967294" count="8" selected="0">
            <x v="0"/>
            <x v="1"/>
            <x v="2"/>
            <x v="3"/>
            <x v="4"/>
            <x v="5"/>
            <x v="6"/>
            <x v="7"/>
          </reference>
          <reference field="0" count="1" selected="0">
            <x v="0"/>
          </reference>
          <reference field="32" count="1" selected="0" defaultSubtotal="1">
            <x v="2"/>
          </reference>
        </references>
      </pivotArea>
    </format>
    <format dxfId="1598">
      <pivotArea outline="0" fieldPosition="0">
        <references count="4">
          <reference field="4294967294" count="8" selected="0">
            <x v="0"/>
            <x v="1"/>
            <x v="2"/>
            <x v="3"/>
            <x v="4"/>
            <x v="5"/>
            <x v="6"/>
            <x v="7"/>
          </reference>
          <reference field="0" count="1" selected="0">
            <x v="0"/>
          </reference>
          <reference field="3" count="1" selected="0">
            <x v="10"/>
          </reference>
          <reference field="32" count="1" selected="0">
            <x v="2"/>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3" dataOnRows="1" applyNumberFormats="0" applyBorderFormats="0" applyFontFormats="0" applyPatternFormats="0" applyAlignmentFormats="0" applyWidthHeightFormats="1" dataCaption="Data" updatedVersion="3" showMemberPropertyTips="0" useAutoFormatting="1" colGrandTotals="0" itemPrintTitles="1" createdVersion="1" indent="0" compact="0" compactData="0" gridDropZones="1">
  <location ref="A3:S617" firstHeaderRow="1" firstDataRow="3" firstDataCol="2"/>
  <pivotFields count="73">
    <pivotField axis="axisRow" compact="0" outline="0" subtotalTop="0" showAll="0" includeNewItemsInFilter="1" sortType="ascending">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axis="axisCol" compact="0" outline="0" subtotalTop="0" showAll="0" includeNewItemsInFilter="1" defaultSubtotal="0">
      <items count="15">
        <item x="0"/>
        <item x="1"/>
        <item x="2"/>
        <item x="3"/>
        <item x="4"/>
        <item x="5"/>
        <item x="11"/>
        <item x="6"/>
        <item x="7"/>
        <item x="8"/>
        <item x="9"/>
        <item x="10"/>
        <item x="12"/>
        <item m="1" x="14"/>
        <item x="13"/>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subtotalCaption="?" compact="0" outline="0" subtotalTop="0" showAll="0" includeNewItemsInFilter="1">
      <items count="5">
        <item n="Four-Year" x="2"/>
        <item n="Two-Year" x="1"/>
        <item n="Technical" x="3"/>
        <item h="1" x="0"/>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32"/>
    <field x="3"/>
  </colFields>
  <colItems count="17">
    <i>
      <x/>
      <x/>
    </i>
    <i r="1">
      <x v="1"/>
    </i>
    <i r="1">
      <x v="2"/>
    </i>
    <i r="1">
      <x v="3"/>
    </i>
    <i r="1">
      <x v="4"/>
    </i>
    <i r="1">
      <x v="5"/>
    </i>
    <i r="1">
      <x v="12"/>
    </i>
    <i t="default">
      <x/>
    </i>
    <i>
      <x v="1"/>
      <x v="6"/>
    </i>
    <i r="1">
      <x v="7"/>
    </i>
    <i r="1">
      <x v="8"/>
    </i>
    <i r="1">
      <x v="9"/>
    </i>
    <i t="default">
      <x v="1"/>
    </i>
    <i>
      <x v="2"/>
      <x v="10"/>
    </i>
    <i r="1">
      <x v="11"/>
    </i>
    <i r="1">
      <x v="14"/>
    </i>
    <i t="default">
      <x v="2"/>
    </i>
  </colItems>
  <dataFields count="36">
    <dataField name=" Old %UG OnC Trad" fld="33" baseField="0" baseItem="0"/>
    <dataField name=" New %UG OnC Trad" fld="34" baseField="0" baseItem="0"/>
    <dataField name=" Change %UG OnC Trad" fld="57" baseField="0" baseItem="0" numFmtId="166"/>
    <dataField name=" Old %UG OffC Trad" fld="36" baseField="0" baseItem="0"/>
    <dataField name=" New %UG OffC Trad" fld="35" baseField="0" baseItem="0"/>
    <dataField name=" Change %UG OffC Trad" fld="60" baseField="0" baseItem="0"/>
    <dataField name=" Old %UG EL Web" fld="41" baseField="0" baseItem="0"/>
    <dataField name=" New %UG EL Web" fld="42" baseField="0" baseItem="0"/>
    <dataField name=" Change %UG EL Web" fld="61" baseField="0" baseItem="0"/>
    <dataField name=" Old %UG EL CV" fld="48" baseField="0" baseItem="0"/>
    <dataField name=" New %UG EL CV" fld="47" baseField="0" baseItem="0"/>
    <dataField name=" Change %UG EL CV" fld="64" baseField="0" baseItem="0"/>
    <dataField name=" Old %UG EL O" fld="49" baseField="0" baseItem="0"/>
    <dataField name=" New %UG EL O" fld="50" baseField="0" baseItem="0"/>
    <dataField name=" Change %UG EL O" fld="65" baseField="0" baseItem="0"/>
    <dataField name=" Old %UG Cor" fld="56" baseField="0" baseItem="0"/>
    <dataField name=" New %UG Cor" fld="55" baseField="0" baseItem="0"/>
    <dataField name=" Change %UG Cor" fld="68" baseField="0" baseItem="0"/>
    <dataField name=" Old %G OnC Trad" fld="38" baseField="0" baseItem="0"/>
    <dataField name=" New %G OnC Trad" fld="39" baseField="0" baseItem="0"/>
    <dataField name=" Change %G OnC Trad" fld="58" baseField="0" baseItem="0"/>
    <dataField name=" Old %G OffC Trad" fld="37" baseField="0" baseItem="0"/>
    <dataField name=" New %G OffC Trad" fld="40" baseField="0" baseItem="0"/>
    <dataField name=" Change %G OffC Trad" fld="59" baseField="0" baseItem="0"/>
    <dataField name=" Old %G EL Web" fld="44" baseField="0" baseItem="0"/>
    <dataField name=" New %G EL Web" fld="43" baseField="0" baseItem="0"/>
    <dataField name=" Change %G EL Web" fld="62" baseField="0" baseItem="0"/>
    <dataField name=" Old %G EL CV" fld="45" baseField="0" baseItem="0"/>
    <dataField name=" New %G EL CV" fld="46" baseField="0" baseItem="0"/>
    <dataField name=" Change %G EL CV" fld="63" baseField="0" baseItem="0"/>
    <dataField name=" Old %G EL O" fld="52" baseField="0" baseItem="0"/>
    <dataField name=" New %G EL O" fld="51" baseField="0" baseItem="0"/>
    <dataField name=" Change %G EL O" fld="66" baseField="0" baseItem="0"/>
    <dataField name=" Old %G Cor" fld="53" baseField="0" baseItem="0"/>
    <dataField name=" New %G Cor" fld="54" baseField="0" baseItem="0"/>
    <dataField name=" Change %G Cor" fld="67" baseField="0" baseItem="0"/>
  </dataFields>
  <formats count="520">
    <format dxfId="673">
      <pivotArea field="3" type="button" dataOnly="0" labelOnly="1" outline="0" axis="axisCol" fieldPosition="1"/>
    </format>
    <format dxfId="672">
      <pivotArea type="topRight" dataOnly="0" labelOnly="1" outline="0" fieldPosition="0"/>
    </format>
    <format dxfId="671">
      <pivotArea dataOnly="0" labelOnly="1" grandCol="1" outline="0" fieldPosition="0"/>
    </format>
    <format dxfId="670">
      <pivotArea outline="0" fieldPosition="0"/>
    </format>
    <format dxfId="669">
      <pivotArea dataOnly="0" labelOnly="1" outline="0" offset="IV27:IV256" fieldPosition="0">
        <references count="1">
          <reference field="0" count="1">
            <x v="6"/>
          </reference>
        </references>
      </pivotArea>
    </format>
    <format dxfId="668">
      <pivotArea dataOnly="0" labelOnly="1" outline="0" offset="IV256" fieldPosition="0">
        <references count="1">
          <reference field="0" count="1">
            <x v="7"/>
          </reference>
        </references>
      </pivotArea>
    </format>
    <format dxfId="667">
      <pivotArea dataOnly="0" labelOnly="1" outline="0" offset="IV256" fieldPosition="0">
        <references count="1">
          <reference field="0" count="1">
            <x v="8"/>
          </reference>
        </references>
      </pivotArea>
    </format>
    <format dxfId="666">
      <pivotArea dataOnly="0" labelOnly="1" outline="0" offset="IV256" fieldPosition="0">
        <references count="1">
          <reference field="0" count="1">
            <x v="9"/>
          </reference>
        </references>
      </pivotArea>
    </format>
    <format dxfId="665">
      <pivotArea dataOnly="0" labelOnly="1" outline="0" offset="IV256" fieldPosition="0">
        <references count="1">
          <reference field="0" count="1">
            <x v="10"/>
          </reference>
        </references>
      </pivotArea>
    </format>
    <format dxfId="664">
      <pivotArea dataOnly="0" labelOnly="1" outline="0" offset="IV256" fieldPosition="0">
        <references count="1">
          <reference field="0" count="1">
            <x v="11"/>
          </reference>
        </references>
      </pivotArea>
    </format>
    <format dxfId="663">
      <pivotArea dataOnly="0" labelOnly="1" outline="0" offset="IV256" fieldPosition="0">
        <references count="1">
          <reference field="0" count="1">
            <x v="12"/>
          </reference>
        </references>
      </pivotArea>
    </format>
    <format dxfId="662">
      <pivotArea dataOnly="0" labelOnly="1" outline="0" offset="IV256" fieldPosition="0">
        <references count="1">
          <reference field="0" count="1">
            <x v="13"/>
          </reference>
        </references>
      </pivotArea>
    </format>
    <format dxfId="661">
      <pivotArea dataOnly="0" labelOnly="1" outline="0" offset="IV256" fieldPosition="0">
        <references count="1">
          <reference field="0" count="1">
            <x v="14"/>
          </reference>
        </references>
      </pivotArea>
    </format>
    <format dxfId="660">
      <pivotArea dataOnly="0" labelOnly="1" outline="0" fieldPosition="0">
        <references count="1">
          <reference field="0" count="0"/>
        </references>
      </pivotArea>
    </format>
    <format dxfId="659">
      <pivotArea dataOnly="0" labelOnly="1" outline="0" offset="IV1" fieldPosition="0">
        <references count="1">
          <reference field="0" count="1">
            <x v="0"/>
          </reference>
        </references>
      </pivotArea>
    </format>
    <format dxfId="658">
      <pivotArea type="origin" dataOnly="0" labelOnly="1" outline="0" fieldPosition="0"/>
    </format>
    <format dxfId="657">
      <pivotArea field="0" type="button" dataOnly="0" labelOnly="1" outline="0" axis="axisRow" fieldPosition="0"/>
    </format>
    <format dxfId="656">
      <pivotArea field="-2" type="button" dataOnly="0" labelOnly="1" outline="0" axis="axisRow" fieldPosition="1"/>
    </format>
    <format dxfId="655">
      <pivotArea field="3" type="button" dataOnly="0" labelOnly="1" outline="0" axis="axisCol" fieldPosition="1"/>
    </format>
    <format dxfId="654">
      <pivotArea type="topRight" dataOnly="0" labelOnly="1" outline="0" fieldPosition="0"/>
    </format>
    <format dxfId="653">
      <pivotArea dataOnly="0" labelOnly="1" outline="0" offset="IV5:IV6" fieldPosition="0">
        <references count="1">
          <reference field="0" count="1">
            <x v="1"/>
          </reference>
        </references>
      </pivotArea>
    </format>
    <format dxfId="652">
      <pivotArea dataOnly="0" labelOnly="1" outline="0" offset="IV7:IV8" fieldPosition="0">
        <references count="1">
          <reference field="0" count="1">
            <x v="1"/>
          </reference>
        </references>
      </pivotArea>
    </format>
    <format dxfId="651">
      <pivotArea dataOnly="0" labelOnly="1" outline="0" offset="IV9:IV10" fieldPosition="0">
        <references count="1">
          <reference field="0" count="1">
            <x v="1"/>
          </reference>
        </references>
      </pivotArea>
    </format>
    <format dxfId="650">
      <pivotArea dataOnly="0" labelOnly="1" outline="0" offset="IV11:IV12" fieldPosition="0">
        <references count="1">
          <reference field="0" count="1">
            <x v="1"/>
          </reference>
        </references>
      </pivotArea>
    </format>
    <format dxfId="649">
      <pivotArea dataOnly="0" labelOnly="1" outline="0" offset="IV5:IV12" fieldPosition="0">
        <references count="1">
          <reference field="0" count="1">
            <x v="1"/>
          </reference>
        </references>
      </pivotArea>
    </format>
    <format dxfId="648">
      <pivotArea dataOnly="0" labelOnly="1" outline="0" offset="IV256" fieldPosition="0">
        <references count="1">
          <reference field="0" count="1">
            <x v="0"/>
          </reference>
        </references>
      </pivotArea>
    </format>
    <format dxfId="647">
      <pivotArea dataOnly="0" labelOnly="1" grandCol="1" outline="0" offset="IV256" fieldPosition="0"/>
    </format>
    <format dxfId="646">
      <pivotArea dataOnly="0" labelOnly="1" outline="0" fieldPosition="0">
        <references count="2">
          <reference field="4294967294" count="1">
            <x v="2"/>
          </reference>
          <reference field="0" count="1" selected="0">
            <x v="0"/>
          </reference>
        </references>
      </pivotArea>
    </format>
    <format dxfId="645">
      <pivotArea dataOnly="0" labelOnly="1" outline="0" fieldPosition="0">
        <references count="2">
          <reference field="4294967294" count="1">
            <x v="5"/>
          </reference>
          <reference field="0" count="1" selected="0">
            <x v="1"/>
          </reference>
        </references>
      </pivotArea>
    </format>
    <format dxfId="644">
      <pivotArea dataOnly="0" labelOnly="1" outline="0" fieldPosition="0">
        <references count="2">
          <reference field="4294967294" count="1">
            <x v="8"/>
          </reference>
          <reference field="0" count="1" selected="0">
            <x v="1"/>
          </reference>
        </references>
      </pivotArea>
    </format>
    <format dxfId="643">
      <pivotArea dataOnly="0" labelOnly="1" outline="0" fieldPosition="0">
        <references count="2">
          <reference field="4294967294" count="1">
            <x v="11"/>
          </reference>
          <reference field="0" count="1" selected="0">
            <x v="1"/>
          </reference>
        </references>
      </pivotArea>
    </format>
    <format dxfId="642">
      <pivotArea dataOnly="0" labelOnly="1" outline="0" fieldPosition="0">
        <references count="2">
          <reference field="4294967294" count="1">
            <x v="14"/>
          </reference>
          <reference field="0" count="1" selected="0">
            <x v="1"/>
          </reference>
        </references>
      </pivotArea>
    </format>
    <format dxfId="641">
      <pivotArea dataOnly="0" labelOnly="1" outline="0" fieldPosition="0">
        <references count="2">
          <reference field="4294967294" count="1">
            <x v="17"/>
          </reference>
          <reference field="0" count="1" selected="0">
            <x v="1"/>
          </reference>
        </references>
      </pivotArea>
    </format>
    <format dxfId="640">
      <pivotArea dataOnly="0" labelOnly="1" outline="0" fieldPosition="0">
        <references count="2">
          <reference field="4294967294" count="1">
            <x v="20"/>
          </reference>
          <reference field="0" count="1" selected="0">
            <x v="1"/>
          </reference>
        </references>
      </pivotArea>
    </format>
    <format dxfId="639">
      <pivotArea dataOnly="0" labelOnly="1" outline="0" fieldPosition="0">
        <references count="2">
          <reference field="4294967294" count="1">
            <x v="23"/>
          </reference>
          <reference field="0" count="1" selected="0">
            <x v="1"/>
          </reference>
        </references>
      </pivotArea>
    </format>
    <format dxfId="638">
      <pivotArea dataOnly="0" labelOnly="1" outline="0" fieldPosition="0">
        <references count="2">
          <reference field="4294967294" count="1">
            <x v="26"/>
          </reference>
          <reference field="0" count="1" selected="0">
            <x v="1"/>
          </reference>
        </references>
      </pivotArea>
    </format>
    <format dxfId="637">
      <pivotArea dataOnly="0" labelOnly="1" outline="0" fieldPosition="0">
        <references count="2">
          <reference field="4294967294" count="1">
            <x v="29"/>
          </reference>
          <reference field="0" count="1" selected="0">
            <x v="1"/>
          </reference>
        </references>
      </pivotArea>
    </format>
    <format dxfId="636">
      <pivotArea dataOnly="0" labelOnly="1" outline="0" fieldPosition="0">
        <references count="2">
          <reference field="4294967294" count="1">
            <x v="32"/>
          </reference>
          <reference field="0" count="1" selected="0">
            <x v="1"/>
          </reference>
        </references>
      </pivotArea>
    </format>
    <format dxfId="635">
      <pivotArea dataOnly="0" labelOnly="1" outline="0" fieldPosition="0">
        <references count="2">
          <reference field="4294967294" count="1">
            <x v="35"/>
          </reference>
          <reference field="0" count="1" selected="0">
            <x v="1"/>
          </reference>
        </references>
      </pivotArea>
    </format>
    <format dxfId="634">
      <pivotArea outline="0" fieldPosition="0">
        <references count="2">
          <reference field="4294967294" count="1" selected="0">
            <x v="35"/>
          </reference>
          <reference field="0" count="1" selected="0">
            <x v="1"/>
          </reference>
        </references>
      </pivotArea>
    </format>
    <format dxfId="633">
      <pivotArea outline="0" fieldPosition="0">
        <references count="3">
          <reference field="4294967294" count="1" selected="0">
            <x v="34"/>
          </reference>
          <reference field="0" count="1" selected="0">
            <x v="0"/>
          </reference>
          <reference field="32" count="1" selected="0" defaultSubtotal="1">
            <x v="0"/>
          </reference>
        </references>
      </pivotArea>
    </format>
    <format dxfId="632">
      <pivotArea outline="0" fieldPosition="0">
        <references count="4">
          <reference field="4294967294" count="3" selected="0">
            <x v="24"/>
            <x v="25"/>
            <x v="26"/>
          </reference>
          <reference field="0" count="1" selected="0">
            <x v="10"/>
          </reference>
          <reference field="3" count="1" selected="0">
            <x v="0"/>
          </reference>
          <reference field="32" count="1" selected="0">
            <x v="0"/>
          </reference>
        </references>
      </pivotArea>
    </format>
    <format dxfId="631">
      <pivotArea outline="0" fieldPosition="0">
        <references count="2">
          <reference field="4294967294" count="1" selected="0">
            <x v="2"/>
          </reference>
          <reference field="0" count="1" selected="0">
            <x v="0"/>
          </reference>
        </references>
      </pivotArea>
    </format>
    <format dxfId="630">
      <pivotArea outline="0" fieldPosition="0">
        <references count="4">
          <reference field="4294967294" count="1" selected="0">
            <x v="5"/>
          </reference>
          <reference field="0" count="1" selected="0">
            <x v="1"/>
          </reference>
          <reference field="3" count="1" selected="0">
            <x v="1"/>
          </reference>
          <reference field="32" count="1" selected="0">
            <x v="0"/>
          </reference>
        </references>
      </pivotArea>
    </format>
    <format dxfId="629">
      <pivotArea outline="0" fieldPosition="0">
        <references count="4">
          <reference field="4294967294" count="1" selected="0">
            <x v="8"/>
          </reference>
          <reference field="0" count="1" selected="0">
            <x v="1"/>
          </reference>
          <reference field="3" count="1" selected="0">
            <x v="1"/>
          </reference>
          <reference field="32" count="1" selected="0">
            <x v="0"/>
          </reference>
        </references>
      </pivotArea>
    </format>
    <format dxfId="628">
      <pivotArea outline="0" fieldPosition="0">
        <references count="4">
          <reference field="4294967294" count="1" selected="0">
            <x v="11"/>
          </reference>
          <reference field="0" count="1" selected="0">
            <x v="1"/>
          </reference>
          <reference field="3" count="1" selected="0">
            <x v="1"/>
          </reference>
          <reference field="32" count="1" selected="0">
            <x v="0"/>
          </reference>
        </references>
      </pivotArea>
    </format>
    <format dxfId="627">
      <pivotArea outline="0" fieldPosition="0">
        <references count="4">
          <reference field="4294967294" count="1" selected="0">
            <x v="14"/>
          </reference>
          <reference field="0" count="1" selected="0">
            <x v="1"/>
          </reference>
          <reference field="3" count="1" selected="0">
            <x v="1"/>
          </reference>
          <reference field="32" count="1" selected="0">
            <x v="0"/>
          </reference>
        </references>
      </pivotArea>
    </format>
    <format dxfId="626">
      <pivotArea outline="0" fieldPosition="0">
        <references count="4">
          <reference field="4294967294" count="1" selected="0">
            <x v="17"/>
          </reference>
          <reference field="0" count="1" selected="0">
            <x v="1"/>
          </reference>
          <reference field="3" count="1" selected="0">
            <x v="1"/>
          </reference>
          <reference field="32" count="1" selected="0">
            <x v="0"/>
          </reference>
        </references>
      </pivotArea>
    </format>
    <format dxfId="625">
      <pivotArea outline="0" fieldPosition="0">
        <references count="4">
          <reference field="4294967294" count="1" selected="0">
            <x v="20"/>
          </reference>
          <reference field="0" count="1" selected="0">
            <x v="1"/>
          </reference>
          <reference field="3" count="1" selected="0">
            <x v="1"/>
          </reference>
          <reference field="32" count="1" selected="0">
            <x v="0"/>
          </reference>
        </references>
      </pivotArea>
    </format>
    <format dxfId="624">
      <pivotArea outline="0" fieldPosition="0">
        <references count="4">
          <reference field="4294967294" count="1" selected="0">
            <x v="23"/>
          </reference>
          <reference field="0" count="1" selected="0">
            <x v="1"/>
          </reference>
          <reference field="3" count="1" selected="0">
            <x v="1"/>
          </reference>
          <reference field="32" count="1" selected="0">
            <x v="0"/>
          </reference>
        </references>
      </pivotArea>
    </format>
    <format dxfId="623">
      <pivotArea outline="0" fieldPosition="0">
        <references count="4">
          <reference field="4294967294" count="1" selected="0">
            <x v="26"/>
          </reference>
          <reference field="0" count="1" selected="0">
            <x v="1"/>
          </reference>
          <reference field="3" count="1" selected="0">
            <x v="1"/>
          </reference>
          <reference field="32" count="1" selected="0">
            <x v="0"/>
          </reference>
        </references>
      </pivotArea>
    </format>
    <format dxfId="622">
      <pivotArea outline="0" fieldPosition="0">
        <references count="4">
          <reference field="4294967294" count="1" selected="0">
            <x v="29"/>
          </reference>
          <reference field="0" count="1" selected="0">
            <x v="1"/>
          </reference>
          <reference field="3" count="1" selected="0">
            <x v="1"/>
          </reference>
          <reference field="32" count="1" selected="0">
            <x v="0"/>
          </reference>
        </references>
      </pivotArea>
    </format>
    <format dxfId="621">
      <pivotArea outline="0" fieldPosition="0">
        <references count="4">
          <reference field="4294967294" count="1" selected="0">
            <x v="32"/>
          </reference>
          <reference field="0" count="1" selected="0">
            <x v="1"/>
          </reference>
          <reference field="3" count="1" selected="0">
            <x v="1"/>
          </reference>
          <reference field="32" count="1" selected="0">
            <x v="0"/>
          </reference>
        </references>
      </pivotArea>
    </format>
    <format dxfId="620">
      <pivotArea outline="0" fieldPosition="0">
        <references count="4">
          <reference field="4294967294" count="1" selected="0">
            <x v="35"/>
          </reference>
          <reference field="0" count="1" selected="0">
            <x v="1"/>
          </reference>
          <reference field="3" count="1" selected="0">
            <x v="1"/>
          </reference>
          <reference field="32" count="1" selected="0">
            <x v="0"/>
          </reference>
        </references>
      </pivotArea>
    </format>
    <format dxfId="619">
      <pivotArea outline="0" fieldPosition="0">
        <references count="4">
          <reference field="4294967294" count="1" selected="0">
            <x v="2"/>
          </reference>
          <reference field="0" count="1" selected="0">
            <x v="3"/>
          </reference>
          <reference field="3" count="1" selected="0">
            <x v="0"/>
          </reference>
          <reference field="32" count="1" selected="0">
            <x v="0"/>
          </reference>
        </references>
      </pivotArea>
    </format>
    <format dxfId="618">
      <pivotArea outline="0" fieldPosition="0">
        <references count="4">
          <reference field="4294967294" count="1" selected="0">
            <x v="5"/>
          </reference>
          <reference field="0" count="1" selected="0">
            <x v="3"/>
          </reference>
          <reference field="3" count="1" selected="0">
            <x v="0"/>
          </reference>
          <reference field="32" count="1" selected="0">
            <x v="0"/>
          </reference>
        </references>
      </pivotArea>
    </format>
    <format dxfId="617">
      <pivotArea outline="0" fieldPosition="0">
        <references count="4">
          <reference field="4294967294" count="1" selected="0">
            <x v="8"/>
          </reference>
          <reference field="0" count="1" selected="0">
            <x v="3"/>
          </reference>
          <reference field="3" count="1" selected="0">
            <x v="0"/>
          </reference>
          <reference field="32" count="1" selected="0">
            <x v="0"/>
          </reference>
        </references>
      </pivotArea>
    </format>
    <format dxfId="616">
      <pivotArea outline="0" fieldPosition="0">
        <references count="4">
          <reference field="4294967294" count="1" selected="0">
            <x v="11"/>
          </reference>
          <reference field="0" count="1" selected="0">
            <x v="3"/>
          </reference>
          <reference field="3" count="1" selected="0">
            <x v="0"/>
          </reference>
          <reference field="32" count="1" selected="0">
            <x v="0"/>
          </reference>
        </references>
      </pivotArea>
    </format>
    <format dxfId="615">
      <pivotArea outline="0" fieldPosition="0">
        <references count="4">
          <reference field="4294967294" count="1" selected="0">
            <x v="14"/>
          </reference>
          <reference field="0" count="1" selected="0">
            <x v="3"/>
          </reference>
          <reference field="3" count="1" selected="0">
            <x v="0"/>
          </reference>
          <reference field="32" count="1" selected="0">
            <x v="0"/>
          </reference>
        </references>
      </pivotArea>
    </format>
    <format dxfId="614">
      <pivotArea outline="0" fieldPosition="0">
        <references count="4">
          <reference field="4294967294" count="1" selected="0">
            <x v="17"/>
          </reference>
          <reference field="0" count="1" selected="0">
            <x v="3"/>
          </reference>
          <reference field="3" count="1" selected="0">
            <x v="0"/>
          </reference>
          <reference field="32" count="1" selected="0">
            <x v="0"/>
          </reference>
        </references>
      </pivotArea>
    </format>
    <format dxfId="613">
      <pivotArea outline="0" fieldPosition="0">
        <references count="4">
          <reference field="4294967294" count="1" selected="0">
            <x v="20"/>
          </reference>
          <reference field="0" count="1" selected="0">
            <x v="3"/>
          </reference>
          <reference field="3" count="1" selected="0">
            <x v="0"/>
          </reference>
          <reference field="32" count="1" selected="0">
            <x v="0"/>
          </reference>
        </references>
      </pivotArea>
    </format>
    <format dxfId="612">
      <pivotArea outline="0" fieldPosition="0">
        <references count="4">
          <reference field="4294967294" count="1" selected="0">
            <x v="23"/>
          </reference>
          <reference field="0" count="1" selected="0">
            <x v="3"/>
          </reference>
          <reference field="3" count="1" selected="0">
            <x v="0"/>
          </reference>
          <reference field="32" count="1" selected="0">
            <x v="0"/>
          </reference>
        </references>
      </pivotArea>
    </format>
    <format dxfId="611">
      <pivotArea outline="0" fieldPosition="0">
        <references count="4">
          <reference field="4294967294" count="1" selected="0">
            <x v="26"/>
          </reference>
          <reference field="0" count="1" selected="0">
            <x v="3"/>
          </reference>
          <reference field="3" count="1" selected="0">
            <x v="0"/>
          </reference>
          <reference field="32" count="1" selected="0">
            <x v="0"/>
          </reference>
        </references>
      </pivotArea>
    </format>
    <format dxfId="610">
      <pivotArea outline="0" fieldPosition="0">
        <references count="4">
          <reference field="4294967294" count="1" selected="0">
            <x v="29"/>
          </reference>
          <reference field="0" count="1" selected="0">
            <x v="3"/>
          </reference>
          <reference field="3" count="1" selected="0">
            <x v="0"/>
          </reference>
          <reference field="32" count="1" selected="0">
            <x v="0"/>
          </reference>
        </references>
      </pivotArea>
    </format>
    <format dxfId="609">
      <pivotArea outline="0" fieldPosition="0">
        <references count="4">
          <reference field="4294967294" count="1" selected="0">
            <x v="32"/>
          </reference>
          <reference field="0" count="1" selected="0">
            <x v="3"/>
          </reference>
          <reference field="3" count="1" selected="0">
            <x v="0"/>
          </reference>
          <reference field="32" count="1" selected="0">
            <x v="0"/>
          </reference>
        </references>
      </pivotArea>
    </format>
    <format dxfId="608">
      <pivotArea outline="0" fieldPosition="0">
        <references count="4">
          <reference field="4294967294" count="1" selected="0">
            <x v="35"/>
          </reference>
          <reference field="0" count="1" selected="0">
            <x v="3"/>
          </reference>
          <reference field="3" count="1" selected="0">
            <x v="0"/>
          </reference>
          <reference field="32" count="1" selected="0">
            <x v="0"/>
          </reference>
        </references>
      </pivotArea>
    </format>
    <format dxfId="607">
      <pivotArea outline="0" fieldPosition="0">
        <references count="4">
          <reference field="4294967294" count="2" selected="0">
            <x v="33"/>
            <x v="34"/>
          </reference>
          <reference field="0" count="1" selected="0">
            <x v="3"/>
          </reference>
          <reference field="3" count="1" selected="0">
            <x v="0"/>
          </reference>
          <reference field="32" count="1" selected="0">
            <x v="0"/>
          </reference>
        </references>
      </pivotArea>
    </format>
    <format dxfId="606">
      <pivotArea outline="0" fieldPosition="0">
        <references count="4">
          <reference field="4294967294" count="1" selected="0">
            <x v="33"/>
          </reference>
          <reference field="0" count="1" selected="0">
            <x v="3"/>
          </reference>
          <reference field="3" count="1" selected="0">
            <x v="0"/>
          </reference>
          <reference field="32" count="1" selected="0">
            <x v="0"/>
          </reference>
        </references>
      </pivotArea>
    </format>
    <format dxfId="605">
      <pivotArea outline="0" fieldPosition="0">
        <references count="3">
          <reference field="4294967294" count="1" selected="0">
            <x v="34"/>
          </reference>
          <reference field="0" count="1" selected="0">
            <x v="3"/>
          </reference>
          <reference field="32" count="1" selected="0" defaultSubtotal="1">
            <x v="0"/>
          </reference>
        </references>
      </pivotArea>
    </format>
    <format dxfId="604">
      <pivotArea outline="0" fieldPosition="0">
        <references count="3">
          <reference field="4294967294" count="1" selected="0">
            <x v="33"/>
          </reference>
          <reference field="0" count="1" selected="0">
            <x v="3"/>
          </reference>
          <reference field="32" count="1" selected="0" defaultSubtotal="1">
            <x v="0"/>
          </reference>
        </references>
      </pivotArea>
    </format>
    <format dxfId="603">
      <pivotArea outline="0" fieldPosition="0">
        <references count="4">
          <reference field="4294967294" count="3" selected="0">
            <x v="0"/>
            <x v="1"/>
            <x v="2"/>
          </reference>
          <reference field="0" count="1" selected="0">
            <x v="3"/>
          </reference>
          <reference field="3" count="1" selected="0">
            <x v="5"/>
          </reference>
          <reference field="32" count="1" selected="0">
            <x v="0"/>
          </reference>
        </references>
      </pivotArea>
    </format>
    <format dxfId="602">
      <pivotArea outline="0" fieldPosition="0">
        <references count="4">
          <reference field="4294967294" count="3" selected="0">
            <x v="3"/>
            <x v="4"/>
            <x v="5"/>
          </reference>
          <reference field="0" count="1" selected="0">
            <x v="3"/>
          </reference>
          <reference field="3" count="1" selected="0">
            <x v="5"/>
          </reference>
          <reference field="32" count="1" selected="0">
            <x v="0"/>
          </reference>
        </references>
      </pivotArea>
    </format>
    <format dxfId="601">
      <pivotArea outline="0" fieldPosition="0">
        <references count="4">
          <reference field="4294967294" count="1" selected="0">
            <x v="9"/>
          </reference>
          <reference field="0" count="1" selected="0">
            <x v="4"/>
          </reference>
          <reference field="3" count="1" selected="0">
            <x v="0"/>
          </reference>
          <reference field="32" count="1" selected="0">
            <x v="0"/>
          </reference>
        </references>
      </pivotArea>
    </format>
    <format dxfId="600">
      <pivotArea outline="0" fieldPosition="0">
        <references count="4">
          <reference field="4294967294" count="1" selected="0">
            <x v="13"/>
          </reference>
          <reference field="0" count="1" selected="0">
            <x v="4"/>
          </reference>
          <reference field="3" count="1" selected="0">
            <x v="0"/>
          </reference>
          <reference field="32" count="1" selected="0">
            <x v="0"/>
          </reference>
        </references>
      </pivotArea>
    </format>
    <format dxfId="599">
      <pivotArea outline="0" fieldPosition="0">
        <references count="4">
          <reference field="4294967294" count="1" selected="0">
            <x v="15"/>
          </reference>
          <reference field="0" count="1" selected="0">
            <x v="4"/>
          </reference>
          <reference field="3" count="1" selected="0">
            <x v="3"/>
          </reference>
          <reference field="32" count="1" selected="0">
            <x v="0"/>
          </reference>
        </references>
      </pivotArea>
    </format>
    <format dxfId="598">
      <pivotArea outline="0" fieldPosition="0">
        <references count="4">
          <reference field="4294967294" count="3" selected="0">
            <x v="0"/>
            <x v="1"/>
            <x v="2"/>
          </reference>
          <reference field="0" count="1" selected="0">
            <x v="5"/>
          </reference>
          <reference field="3" count="1" selected="0">
            <x v="1"/>
          </reference>
          <reference field="32" count="1" selected="0">
            <x v="0"/>
          </reference>
        </references>
      </pivotArea>
    </format>
    <format dxfId="597">
      <pivotArea outline="0" fieldPosition="0">
        <references count="4">
          <reference field="4294967294" count="3" selected="0">
            <x v="21"/>
            <x v="22"/>
            <x v="23"/>
          </reference>
          <reference field="0" count="1" selected="0">
            <x v="8"/>
          </reference>
          <reference field="3" count="1" selected="0">
            <x v="2"/>
          </reference>
          <reference field="32" count="1" selected="0">
            <x v="0"/>
          </reference>
        </references>
      </pivotArea>
    </format>
    <format dxfId="596">
      <pivotArea outline="0" fieldPosition="0">
        <references count="4">
          <reference field="4294967294" count="3" selected="0">
            <x v="21"/>
            <x v="22"/>
            <x v="23"/>
          </reference>
          <reference field="0" count="1" selected="0">
            <x v="9"/>
          </reference>
          <reference field="3" count="1" selected="0">
            <x v="3"/>
          </reference>
          <reference field="32" count="1" selected="0">
            <x v="0"/>
          </reference>
        </references>
      </pivotArea>
    </format>
    <format dxfId="595">
      <pivotArea outline="0" fieldPosition="0">
        <references count="4">
          <reference field="4294967294" count="3" selected="0">
            <x v="24"/>
            <x v="25"/>
            <x v="26"/>
          </reference>
          <reference field="0" count="1" selected="0">
            <x v="9"/>
          </reference>
          <reference field="3" count="1" selected="0">
            <x v="3"/>
          </reference>
          <reference field="32" count="1" selected="0">
            <x v="0"/>
          </reference>
        </references>
      </pivotArea>
    </format>
    <format dxfId="594">
      <pivotArea outline="0" fieldPosition="0">
        <references count="4">
          <reference field="4294967294" count="3" selected="0">
            <x v="3"/>
            <x v="4"/>
            <x v="5"/>
          </reference>
          <reference field="0" count="1" selected="0">
            <x v="15"/>
          </reference>
          <reference field="3" count="1" selected="0">
            <x v="5"/>
          </reference>
          <reference field="32" count="1" selected="0">
            <x v="0"/>
          </reference>
        </references>
      </pivotArea>
    </format>
    <format dxfId="593">
      <pivotArea outline="0" fieldPosition="0">
        <references count="3">
          <reference field="4294967294" count="1" selected="0">
            <x v="31"/>
          </reference>
          <reference field="0" count="1" selected="0">
            <x v="15"/>
          </reference>
          <reference field="32" count="1" selected="0" defaultSubtotal="1">
            <x v="0"/>
          </reference>
        </references>
      </pivotArea>
    </format>
    <format dxfId="592">
      <pivotArea outline="0" fieldPosition="0">
        <references count="4">
          <reference field="4294967294" count="1" selected="0">
            <x v="31"/>
          </reference>
          <reference field="0" count="1" selected="0">
            <x v="15"/>
          </reference>
          <reference field="3" count="1" selected="0">
            <x v="0"/>
          </reference>
          <reference field="32" count="1" selected="0">
            <x v="0"/>
          </reference>
        </references>
      </pivotArea>
    </format>
    <format dxfId="591">
      <pivotArea outline="0" fieldPosition="0">
        <references count="4">
          <reference field="4294967294" count="1" selected="0">
            <x v="31"/>
          </reference>
          <reference field="0" count="1" selected="0">
            <x v="13"/>
          </reference>
          <reference field="3" count="1" selected="0">
            <x v="3"/>
          </reference>
          <reference field="32" count="1" selected="0">
            <x v="0"/>
          </reference>
        </references>
      </pivotArea>
    </format>
    <format dxfId="590">
      <pivotArea outline="0" fieldPosition="0">
        <references count="4">
          <reference field="4294967294" count="1" selected="0">
            <x v="33"/>
          </reference>
          <reference field="0" count="1" selected="0">
            <x v="10"/>
          </reference>
          <reference field="3" count="1" selected="0">
            <x v="0"/>
          </reference>
          <reference field="32" count="1" selected="0">
            <x v="0"/>
          </reference>
        </references>
      </pivotArea>
    </format>
    <format dxfId="589">
      <pivotArea outline="0" fieldPosition="0">
        <references count="4">
          <reference field="4294967294" count="1" selected="0">
            <x v="31"/>
          </reference>
          <reference field="0" count="1" selected="0">
            <x v="10"/>
          </reference>
          <reference field="3" count="1" selected="0">
            <x v="0"/>
          </reference>
          <reference field="32" count="1" selected="0">
            <x v="0"/>
          </reference>
        </references>
      </pivotArea>
    </format>
    <format dxfId="588">
      <pivotArea outline="0" fieldPosition="0">
        <references count="4">
          <reference field="4294967294" count="1" selected="0">
            <x v="13"/>
          </reference>
          <reference field="0" count="1" selected="0">
            <x v="10"/>
          </reference>
          <reference field="3" count="1" selected="0">
            <x v="5"/>
          </reference>
          <reference field="32" count="1" selected="0">
            <x v="0"/>
          </reference>
        </references>
      </pivotArea>
    </format>
    <format dxfId="587">
      <pivotArea outline="0" fieldPosition="0">
        <references count="4">
          <reference field="4294967294" count="1" selected="0">
            <x v="10"/>
          </reference>
          <reference field="0" count="1" selected="0">
            <x v="10"/>
          </reference>
          <reference field="3" count="1" selected="0">
            <x v="2"/>
          </reference>
          <reference field="32" count="1" selected="0">
            <x v="0"/>
          </reference>
        </references>
      </pivotArea>
    </format>
    <format dxfId="586">
      <pivotArea outline="0" fieldPosition="0">
        <references count="4">
          <reference field="4294967294" count="1" selected="0">
            <x v="31"/>
          </reference>
          <reference field="0" count="1" selected="0">
            <x v="9"/>
          </reference>
          <reference field="3" count="1" selected="0">
            <x v="0"/>
          </reference>
          <reference field="32" count="1" selected="0">
            <x v="0"/>
          </reference>
        </references>
      </pivotArea>
    </format>
    <format dxfId="585">
      <pivotArea outline="0" fieldPosition="0">
        <references count="4">
          <reference field="4294967294" count="1" selected="0">
            <x v="12"/>
          </reference>
          <reference field="0" count="1" selected="0">
            <x v="9"/>
          </reference>
          <reference field="3" count="1" selected="0">
            <x v="2"/>
          </reference>
          <reference field="32" count="1" selected="0">
            <x v="0"/>
          </reference>
        </references>
      </pivotArea>
    </format>
    <format dxfId="584">
      <pivotArea outline="0" fieldPosition="0">
        <references count="4">
          <reference field="4294967294" count="2" selected="0">
            <x v="9"/>
            <x v="10"/>
          </reference>
          <reference field="0" count="1" selected="0">
            <x v="9"/>
          </reference>
          <reference field="3" count="2" selected="0">
            <x v="1"/>
            <x v="2"/>
          </reference>
          <reference field="32" count="1" selected="0">
            <x v="0"/>
          </reference>
        </references>
      </pivotArea>
    </format>
    <format dxfId="583">
      <pivotArea outline="0" fieldPosition="0">
        <references count="4">
          <reference field="4294967294" count="1" selected="0">
            <x v="33"/>
          </reference>
          <reference field="0" count="1" selected="0">
            <x v="8"/>
          </reference>
          <reference field="3" count="1" selected="0">
            <x v="0"/>
          </reference>
          <reference field="32" count="1" selected="0">
            <x v="0"/>
          </reference>
        </references>
      </pivotArea>
    </format>
    <format dxfId="582">
      <pivotArea outline="0" fieldPosition="0">
        <references count="4">
          <reference field="4294967294" count="1" selected="0">
            <x v="34"/>
          </reference>
          <reference field="0" count="1" selected="0">
            <x v="8"/>
          </reference>
          <reference field="3" count="1" selected="0">
            <x v="0"/>
          </reference>
          <reference field="32" count="1" selected="0">
            <x v="0"/>
          </reference>
        </references>
      </pivotArea>
    </format>
    <format dxfId="581">
      <pivotArea outline="0" fieldPosition="0">
        <references count="4">
          <reference field="4294967294" count="1" selected="0">
            <x v="31"/>
          </reference>
          <reference field="0" count="1" selected="0">
            <x v="8"/>
          </reference>
          <reference field="3" count="1" selected="0">
            <x v="2"/>
          </reference>
          <reference field="32" count="1" selected="0">
            <x v="0"/>
          </reference>
        </references>
      </pivotArea>
    </format>
    <format dxfId="580">
      <pivotArea outline="0" fieldPosition="0">
        <references count="4">
          <reference field="4294967294" count="2" selected="0">
            <x v="12"/>
            <x v="13"/>
          </reference>
          <reference field="0" count="1" selected="0">
            <x v="8"/>
          </reference>
          <reference field="3" count="1" selected="0">
            <x v="0"/>
          </reference>
          <reference field="32" count="1" selected="0">
            <x v="0"/>
          </reference>
        </references>
      </pivotArea>
    </format>
    <format dxfId="579">
      <pivotArea outline="0" fieldPosition="0">
        <references count="4">
          <reference field="4294967294" count="1" selected="0">
            <x v="12"/>
          </reference>
          <reference field="0" count="1" selected="0">
            <x v="8"/>
          </reference>
          <reference field="3" count="1" selected="0">
            <x v="1"/>
          </reference>
          <reference field="32" count="1" selected="0">
            <x v="0"/>
          </reference>
        </references>
      </pivotArea>
    </format>
    <format dxfId="578">
      <pivotArea outline="0" fieldPosition="0">
        <references count="4">
          <reference field="4294967294" count="1" selected="0">
            <x v="12"/>
          </reference>
          <reference field="0" count="1" selected="0">
            <x v="8"/>
          </reference>
          <reference field="3" count="1" selected="0">
            <x v="3"/>
          </reference>
          <reference field="32" count="1" selected="0">
            <x v="0"/>
          </reference>
        </references>
      </pivotArea>
    </format>
    <format dxfId="577">
      <pivotArea outline="0" fieldPosition="0">
        <references count="4">
          <reference field="4294967294" count="1" selected="0">
            <x v="10"/>
          </reference>
          <reference field="0" count="1" selected="0">
            <x v="8"/>
          </reference>
          <reference field="3" count="1" selected="0">
            <x v="3"/>
          </reference>
          <reference field="32" count="1" selected="0">
            <x v="0"/>
          </reference>
        </references>
      </pivotArea>
    </format>
    <format dxfId="576">
      <pivotArea outline="0" fieldPosition="0">
        <references count="4">
          <reference field="4294967294" count="1" selected="0">
            <x v="28"/>
          </reference>
          <reference field="0" count="1" selected="0">
            <x v="7"/>
          </reference>
          <reference field="3" count="1" selected="0">
            <x v="1"/>
          </reference>
          <reference field="32" count="1" selected="0">
            <x v="0"/>
          </reference>
        </references>
      </pivotArea>
    </format>
    <format dxfId="575">
      <pivotArea outline="0" fieldPosition="0">
        <references count="4">
          <reference field="4294967294" count="1" selected="0">
            <x v="10"/>
          </reference>
          <reference field="0" count="1" selected="0">
            <x v="7"/>
          </reference>
          <reference field="3" count="1" selected="0">
            <x v="2"/>
          </reference>
          <reference field="32" count="1" selected="0">
            <x v="0"/>
          </reference>
        </references>
      </pivotArea>
    </format>
    <format dxfId="574">
      <pivotArea outline="0" fieldPosition="0">
        <references count="4">
          <reference field="4294967294" count="1" selected="0">
            <x v="31"/>
          </reference>
          <reference field="0" count="1" selected="0">
            <x v="6"/>
          </reference>
          <reference field="3" count="1" selected="0">
            <x v="1"/>
          </reference>
          <reference field="32" count="1" selected="0">
            <x v="0"/>
          </reference>
        </references>
      </pivotArea>
    </format>
    <format dxfId="573">
      <pivotArea outline="0" fieldPosition="0">
        <references count="4">
          <reference field="4294967294" count="1" selected="0">
            <x v="10"/>
          </reference>
          <reference field="0" count="1" selected="0">
            <x v="6"/>
          </reference>
          <reference field="3" count="1" selected="0">
            <x v="0"/>
          </reference>
          <reference field="32" count="1" selected="0">
            <x v="0"/>
          </reference>
        </references>
      </pivotArea>
    </format>
    <format dxfId="572">
      <pivotArea outline="0" fieldPosition="0">
        <references count="4">
          <reference field="4294967294" count="2" selected="0">
            <x v="30"/>
            <x v="31"/>
          </reference>
          <reference field="0" count="1" selected="0">
            <x v="5"/>
          </reference>
          <reference field="3" count="2" selected="0">
            <x v="0"/>
            <x v="1"/>
          </reference>
          <reference field="32" count="1" selected="0">
            <x v="0"/>
          </reference>
        </references>
      </pivotArea>
    </format>
    <format dxfId="571">
      <pivotArea outline="0" fieldPosition="0">
        <references count="4">
          <reference field="4294967294" count="2" selected="0">
            <x v="30"/>
            <x v="31"/>
          </reference>
          <reference field="0" count="1" selected="0">
            <x v="5"/>
          </reference>
          <reference field="3" count="1" selected="0">
            <x v="3"/>
          </reference>
          <reference field="32" count="1" selected="0">
            <x v="0"/>
          </reference>
        </references>
      </pivotArea>
    </format>
    <format dxfId="570">
      <pivotArea outline="0" fieldPosition="0">
        <references count="4">
          <reference field="4294967294" count="1" selected="0">
            <x v="27"/>
          </reference>
          <reference field="0" count="1" selected="0">
            <x v="5"/>
          </reference>
          <reference field="3" count="1" selected="0">
            <x v="1"/>
          </reference>
          <reference field="32" count="1" selected="0">
            <x v="0"/>
          </reference>
        </references>
      </pivotArea>
    </format>
    <format dxfId="569">
      <pivotArea outline="0" fieldPosition="0">
        <references count="4">
          <reference field="4294967294" count="1" selected="0">
            <x v="30"/>
          </reference>
          <reference field="0" count="1" selected="0">
            <x v="4"/>
          </reference>
          <reference field="3" count="1" selected="0">
            <x v="2"/>
          </reference>
          <reference field="32" count="1" selected="0">
            <x v="0"/>
          </reference>
        </references>
      </pivotArea>
    </format>
    <format dxfId="568">
      <pivotArea outline="0" fieldPosition="0">
        <references count="4">
          <reference field="4294967294" count="1" selected="0">
            <x v="27"/>
          </reference>
          <reference field="0" count="1" selected="0">
            <x v="4"/>
          </reference>
          <reference field="3" count="1" selected="0">
            <x v="1"/>
          </reference>
          <reference field="32" count="1" selected="0">
            <x v="0"/>
          </reference>
        </references>
      </pivotArea>
    </format>
    <format dxfId="567">
      <pivotArea outline="0" fieldPosition="0">
        <references count="4">
          <reference field="4294967294" count="1" selected="0">
            <x v="9"/>
          </reference>
          <reference field="0" count="1" selected="0">
            <x v="3"/>
          </reference>
          <reference field="3" count="1" selected="0">
            <x v="2"/>
          </reference>
          <reference field="32" count="1" selected="0">
            <x v="0"/>
          </reference>
        </references>
      </pivotArea>
    </format>
    <format dxfId="566">
      <pivotArea outline="0" fieldPosition="0">
        <references count="4">
          <reference field="4294967294" count="1" selected="0">
            <x v="10"/>
          </reference>
          <reference field="0" count="1" selected="0">
            <x v="3"/>
          </reference>
          <reference field="3" count="1" selected="0">
            <x v="4"/>
          </reference>
          <reference field="32" count="1" selected="0">
            <x v="0"/>
          </reference>
        </references>
      </pivotArea>
    </format>
    <format dxfId="565">
      <pivotArea outline="0" fieldPosition="0">
        <references count="4">
          <reference field="4294967294" count="1" selected="0">
            <x v="13"/>
          </reference>
          <reference field="0" count="1" selected="0">
            <x v="1"/>
          </reference>
          <reference field="3" count="1" selected="0">
            <x v="1"/>
          </reference>
          <reference field="32" count="1" selected="0">
            <x v="0"/>
          </reference>
        </references>
      </pivotArea>
    </format>
    <format dxfId="564">
      <pivotArea outline="0" fieldPosition="0">
        <references count="4">
          <reference field="4294967294" count="1" selected="0">
            <x v="34"/>
          </reference>
          <reference field="0" count="1" selected="0">
            <x v="0"/>
          </reference>
          <reference field="3" count="1" selected="0">
            <x v="0"/>
          </reference>
          <reference field="32" count="1" selected="0">
            <x v="0"/>
          </reference>
        </references>
      </pivotArea>
    </format>
    <format dxfId="563">
      <pivotArea outline="0" fieldPosition="0">
        <references count="4">
          <reference field="4294967294" count="6" selected="0">
            <x v="0"/>
            <x v="1"/>
            <x v="2"/>
            <x v="3"/>
            <x v="4"/>
            <x v="5"/>
          </reference>
          <reference field="0" count="1" selected="0">
            <x v="3"/>
          </reference>
          <reference field="3" count="3" selected="0">
            <x v="7"/>
            <x v="8"/>
            <x v="9"/>
          </reference>
          <reference field="32" count="1" selected="0">
            <x v="1"/>
          </reference>
        </references>
      </pivotArea>
    </format>
    <format dxfId="562">
      <pivotArea outline="0" fieldPosition="0">
        <references count="3">
          <reference field="4294967294" count="6" selected="0">
            <x v="0"/>
            <x v="1"/>
            <x v="2"/>
            <x v="3"/>
            <x v="4"/>
            <x v="5"/>
          </reference>
          <reference field="0" count="1" selected="0">
            <x v="3"/>
          </reference>
          <reference field="32" count="1" selected="0" defaultSubtotal="1">
            <x v="1"/>
          </reference>
        </references>
      </pivotArea>
    </format>
    <format dxfId="561">
      <pivotArea outline="0" fieldPosition="0">
        <references count="4">
          <reference field="4294967294" count="3" selected="0">
            <x v="0"/>
            <x v="1"/>
            <x v="2"/>
          </reference>
          <reference field="0" count="1" selected="0">
            <x v="5"/>
          </reference>
          <reference field="3" count="1" selected="0">
            <x v="7"/>
          </reference>
          <reference field="32" count="1" selected="0">
            <x v="1"/>
          </reference>
        </references>
      </pivotArea>
    </format>
    <format dxfId="560">
      <pivotArea outline="0" fieldPosition="0">
        <references count="4">
          <reference field="4294967294" count="3" selected="0">
            <x v="0"/>
            <x v="1"/>
            <x v="2"/>
          </reference>
          <reference field="0" count="1" selected="0">
            <x v="5"/>
          </reference>
          <reference field="3" count="1" selected="0">
            <x v="9"/>
          </reference>
          <reference field="32" count="1" selected="0">
            <x v="1"/>
          </reference>
        </references>
      </pivotArea>
    </format>
    <format dxfId="559">
      <pivotArea outline="0" fieldPosition="0">
        <references count="4">
          <reference field="4294967294" count="3" selected="0">
            <x v="6"/>
            <x v="7"/>
            <x v="8"/>
          </reference>
          <reference field="0" count="1" selected="0">
            <x v="5"/>
          </reference>
          <reference field="3" count="1" selected="0">
            <x v="7"/>
          </reference>
          <reference field="32" count="1" selected="0">
            <x v="1"/>
          </reference>
        </references>
      </pivotArea>
    </format>
    <format dxfId="558">
      <pivotArea outline="0" fieldPosition="0">
        <references count="4">
          <reference field="4294967294" count="9" selected="0">
            <x v="0"/>
            <x v="1"/>
            <x v="2"/>
            <x v="3"/>
            <x v="4"/>
            <x v="5"/>
            <x v="6"/>
            <x v="7"/>
            <x v="8"/>
          </reference>
          <reference field="0" count="1" selected="0">
            <x v="15"/>
          </reference>
          <reference field="3" count="1" selected="0">
            <x v="8"/>
          </reference>
          <reference field="32" count="1" selected="0">
            <x v="1"/>
          </reference>
        </references>
      </pivotArea>
    </format>
    <format dxfId="557">
      <pivotArea outline="0" fieldPosition="0">
        <references count="4">
          <reference field="4294967294" count="9" selected="0">
            <x v="0"/>
            <x v="1"/>
            <x v="2"/>
            <x v="3"/>
            <x v="4"/>
            <x v="5"/>
            <x v="6"/>
            <x v="7"/>
            <x v="8"/>
          </reference>
          <reference field="0" count="1" selected="0">
            <x v="15"/>
          </reference>
          <reference field="3" count="1" selected="0">
            <x v="9"/>
          </reference>
          <reference field="32" count="1" selected="0">
            <x v="1"/>
          </reference>
        </references>
      </pivotArea>
    </format>
    <format dxfId="556">
      <pivotArea outline="0" fieldPosition="0">
        <references count="4">
          <reference field="4294967294" count="8" selected="0">
            <x v="18"/>
            <x v="19"/>
            <x v="20"/>
            <x v="21"/>
            <x v="22"/>
            <x v="23"/>
            <x v="24"/>
            <x v="25"/>
          </reference>
          <reference field="0" count="1" selected="0">
            <x v="15"/>
          </reference>
          <reference field="3" count="1" selected="0">
            <x v="8"/>
          </reference>
          <reference field="32" count="1" selected="0">
            <x v="1"/>
          </reference>
        </references>
      </pivotArea>
    </format>
    <format dxfId="555">
      <pivotArea field="0" grandRow="1" outline="0" axis="axisRow" fieldPosition="0">
        <references count="1">
          <reference field="4294967294" count="1" selected="0">
            <x v="35"/>
          </reference>
        </references>
      </pivotArea>
    </format>
    <format dxfId="554">
      <pivotArea field="0" dataOnly="0" labelOnly="1" grandRow="1" outline="0" axis="axisRow" fieldPosition="0">
        <references count="1">
          <reference field="4294967294" count="1" selected="0">
            <x v="0"/>
          </reference>
        </references>
      </pivotArea>
    </format>
    <format dxfId="553">
      <pivotArea field="0" dataOnly="0" labelOnly="1" grandRow="1" outline="0" axis="axisRow" fieldPosition="0">
        <references count="1">
          <reference field="4294967294" count="1" selected="0">
            <x v="1"/>
          </reference>
        </references>
      </pivotArea>
    </format>
    <format dxfId="552">
      <pivotArea field="0" dataOnly="0" labelOnly="1" grandRow="1" outline="0" axis="axisRow" fieldPosition="0">
        <references count="1">
          <reference field="4294967294" count="1" selected="0">
            <x v="2"/>
          </reference>
        </references>
      </pivotArea>
    </format>
    <format dxfId="551">
      <pivotArea field="0" dataOnly="0" labelOnly="1" grandRow="1" outline="0" axis="axisRow" fieldPosition="0">
        <references count="1">
          <reference field="4294967294" count="1" selected="0">
            <x v="3"/>
          </reference>
        </references>
      </pivotArea>
    </format>
    <format dxfId="550">
      <pivotArea field="0" dataOnly="0" labelOnly="1" grandRow="1" outline="0" axis="axisRow" fieldPosition="0">
        <references count="1">
          <reference field="4294967294" count="1" selected="0">
            <x v="4"/>
          </reference>
        </references>
      </pivotArea>
    </format>
    <format dxfId="549">
      <pivotArea field="0" dataOnly="0" labelOnly="1" grandRow="1" outline="0" axis="axisRow" fieldPosition="0">
        <references count="1">
          <reference field="4294967294" count="1" selected="0">
            <x v="5"/>
          </reference>
        </references>
      </pivotArea>
    </format>
    <format dxfId="548">
      <pivotArea field="0" dataOnly="0" labelOnly="1" grandRow="1" outline="0" axis="axisRow" fieldPosition="0">
        <references count="1">
          <reference field="4294967294" count="1" selected="0">
            <x v="6"/>
          </reference>
        </references>
      </pivotArea>
    </format>
    <format dxfId="547">
      <pivotArea field="0" dataOnly="0" labelOnly="1" grandRow="1" outline="0" axis="axisRow" fieldPosition="0">
        <references count="1">
          <reference field="4294967294" count="1" selected="0">
            <x v="7"/>
          </reference>
        </references>
      </pivotArea>
    </format>
    <format dxfId="546">
      <pivotArea field="0" dataOnly="0" labelOnly="1" grandRow="1" outline="0" axis="axisRow" fieldPosition="0">
        <references count="1">
          <reference field="4294967294" count="1" selected="0">
            <x v="8"/>
          </reference>
        </references>
      </pivotArea>
    </format>
    <format dxfId="545">
      <pivotArea field="0" dataOnly="0" labelOnly="1" grandRow="1" outline="0" axis="axisRow" fieldPosition="0">
        <references count="1">
          <reference field="4294967294" count="1" selected="0">
            <x v="9"/>
          </reference>
        </references>
      </pivotArea>
    </format>
    <format dxfId="544">
      <pivotArea field="0" dataOnly="0" labelOnly="1" grandRow="1" outline="0" axis="axisRow" fieldPosition="0">
        <references count="1">
          <reference field="4294967294" count="1" selected="0">
            <x v="10"/>
          </reference>
        </references>
      </pivotArea>
    </format>
    <format dxfId="543">
      <pivotArea field="0" dataOnly="0" labelOnly="1" grandRow="1" outline="0" axis="axisRow" fieldPosition="0">
        <references count="1">
          <reference field="4294967294" count="1" selected="0">
            <x v="11"/>
          </reference>
        </references>
      </pivotArea>
    </format>
    <format dxfId="542">
      <pivotArea field="0" dataOnly="0" labelOnly="1" grandRow="1" outline="0" axis="axisRow" fieldPosition="0">
        <references count="1">
          <reference field="4294967294" count="1" selected="0">
            <x v="12"/>
          </reference>
        </references>
      </pivotArea>
    </format>
    <format dxfId="541">
      <pivotArea field="0" dataOnly="0" labelOnly="1" grandRow="1" outline="0" axis="axisRow" fieldPosition="0">
        <references count="1">
          <reference field="4294967294" count="1" selected="0">
            <x v="13"/>
          </reference>
        </references>
      </pivotArea>
    </format>
    <format dxfId="540">
      <pivotArea field="0" dataOnly="0" labelOnly="1" grandRow="1" outline="0" axis="axisRow" fieldPosition="0">
        <references count="1">
          <reference field="4294967294" count="1" selected="0">
            <x v="14"/>
          </reference>
        </references>
      </pivotArea>
    </format>
    <format dxfId="539">
      <pivotArea field="0" dataOnly="0" labelOnly="1" grandRow="1" outline="0" axis="axisRow" fieldPosition="0">
        <references count="1">
          <reference field="4294967294" count="1" selected="0">
            <x v="15"/>
          </reference>
        </references>
      </pivotArea>
    </format>
    <format dxfId="538">
      <pivotArea field="0" dataOnly="0" labelOnly="1" grandRow="1" outline="0" axis="axisRow" fieldPosition="0">
        <references count="1">
          <reference field="4294967294" count="1" selected="0">
            <x v="16"/>
          </reference>
        </references>
      </pivotArea>
    </format>
    <format dxfId="537">
      <pivotArea field="0" dataOnly="0" labelOnly="1" grandRow="1" outline="0" axis="axisRow" fieldPosition="0">
        <references count="1">
          <reference field="4294967294" count="1" selected="0">
            <x v="17"/>
          </reference>
        </references>
      </pivotArea>
    </format>
    <format dxfId="536">
      <pivotArea field="0" dataOnly="0" labelOnly="1" grandRow="1" outline="0" axis="axisRow" fieldPosition="0">
        <references count="1">
          <reference field="4294967294" count="1" selected="0">
            <x v="18"/>
          </reference>
        </references>
      </pivotArea>
    </format>
    <format dxfId="535">
      <pivotArea field="0" dataOnly="0" labelOnly="1" grandRow="1" outline="0" axis="axisRow" fieldPosition="0">
        <references count="1">
          <reference field="4294967294" count="1" selected="0">
            <x v="19"/>
          </reference>
        </references>
      </pivotArea>
    </format>
    <format dxfId="534">
      <pivotArea field="0" dataOnly="0" labelOnly="1" grandRow="1" outline="0" axis="axisRow" fieldPosition="0">
        <references count="1">
          <reference field="4294967294" count="1" selected="0">
            <x v="20"/>
          </reference>
        </references>
      </pivotArea>
    </format>
    <format dxfId="533">
      <pivotArea field="0" dataOnly="0" labelOnly="1" grandRow="1" outline="0" axis="axisRow" fieldPosition="0">
        <references count="1">
          <reference field="4294967294" count="1" selected="0">
            <x v="21"/>
          </reference>
        </references>
      </pivotArea>
    </format>
    <format dxfId="532">
      <pivotArea field="0" dataOnly="0" labelOnly="1" grandRow="1" outline="0" axis="axisRow" fieldPosition="0">
        <references count="1">
          <reference field="4294967294" count="1" selected="0">
            <x v="22"/>
          </reference>
        </references>
      </pivotArea>
    </format>
    <format dxfId="531">
      <pivotArea field="0" dataOnly="0" labelOnly="1" grandRow="1" outline="0" axis="axisRow" fieldPosition="0">
        <references count="1">
          <reference field="4294967294" count="1" selected="0">
            <x v="23"/>
          </reference>
        </references>
      </pivotArea>
    </format>
    <format dxfId="530">
      <pivotArea field="0" dataOnly="0" labelOnly="1" grandRow="1" outline="0" axis="axisRow" fieldPosition="0">
        <references count="1">
          <reference field="4294967294" count="1" selected="0">
            <x v="24"/>
          </reference>
        </references>
      </pivotArea>
    </format>
    <format dxfId="529">
      <pivotArea field="0" dataOnly="0" labelOnly="1" grandRow="1" outline="0" axis="axisRow" fieldPosition="0">
        <references count="1">
          <reference field="4294967294" count="1" selected="0">
            <x v="25"/>
          </reference>
        </references>
      </pivotArea>
    </format>
    <format dxfId="528">
      <pivotArea field="0" dataOnly="0" labelOnly="1" grandRow="1" outline="0" axis="axisRow" fieldPosition="0">
        <references count="1">
          <reference field="4294967294" count="1" selected="0">
            <x v="26"/>
          </reference>
        </references>
      </pivotArea>
    </format>
    <format dxfId="527">
      <pivotArea field="0" dataOnly="0" labelOnly="1" grandRow="1" outline="0" axis="axisRow" fieldPosition="0">
        <references count="1">
          <reference field="4294967294" count="1" selected="0">
            <x v="27"/>
          </reference>
        </references>
      </pivotArea>
    </format>
    <format dxfId="526">
      <pivotArea field="0" dataOnly="0" labelOnly="1" grandRow="1" outline="0" axis="axisRow" fieldPosition="0">
        <references count="1">
          <reference field="4294967294" count="1" selected="0">
            <x v="28"/>
          </reference>
        </references>
      </pivotArea>
    </format>
    <format dxfId="525">
      <pivotArea field="0" dataOnly="0" labelOnly="1" grandRow="1" outline="0" axis="axisRow" fieldPosition="0">
        <references count="1">
          <reference field="4294967294" count="1" selected="0">
            <x v="29"/>
          </reference>
        </references>
      </pivotArea>
    </format>
    <format dxfId="524">
      <pivotArea field="0" dataOnly="0" labelOnly="1" grandRow="1" outline="0" axis="axisRow" fieldPosition="0">
        <references count="1">
          <reference field="4294967294" count="1" selected="0">
            <x v="30"/>
          </reference>
        </references>
      </pivotArea>
    </format>
    <format dxfId="523">
      <pivotArea field="0" dataOnly="0" labelOnly="1" grandRow="1" outline="0" axis="axisRow" fieldPosition="0">
        <references count="1">
          <reference field="4294967294" count="1" selected="0">
            <x v="31"/>
          </reference>
        </references>
      </pivotArea>
    </format>
    <format dxfId="522">
      <pivotArea field="0" dataOnly="0" labelOnly="1" grandRow="1" outline="0" axis="axisRow" fieldPosition="0">
        <references count="1">
          <reference field="4294967294" count="1" selected="0">
            <x v="32"/>
          </reference>
        </references>
      </pivotArea>
    </format>
    <format dxfId="521">
      <pivotArea field="0" dataOnly="0" labelOnly="1" grandRow="1" outline="0" axis="axisRow" fieldPosition="0">
        <references count="1">
          <reference field="4294967294" count="1" selected="0">
            <x v="33"/>
          </reference>
        </references>
      </pivotArea>
    </format>
    <format dxfId="520">
      <pivotArea field="0" dataOnly="0" labelOnly="1" grandRow="1" outline="0" axis="axisRow" fieldPosition="0">
        <references count="1">
          <reference field="4294967294" count="1" selected="0">
            <x v="34"/>
          </reference>
        </references>
      </pivotArea>
    </format>
    <format dxfId="519">
      <pivotArea field="0" dataOnly="0" labelOnly="1" grandRow="1" outline="0" axis="axisRow" fieldPosition="0">
        <references count="1">
          <reference field="4294967294" count="1" selected="0">
            <x v="35"/>
          </reference>
        </references>
      </pivotArea>
    </format>
    <format dxfId="518">
      <pivotArea outline="0" fieldPosition="0">
        <references count="2">
          <reference field="4294967294" count="1" selected="0">
            <x v="0"/>
          </reference>
          <reference field="0" count="1" selected="0">
            <x v="0"/>
          </reference>
        </references>
      </pivotArea>
    </format>
    <format dxfId="517">
      <pivotArea dataOnly="0" labelOnly="1" outline="0" offset="IV1" fieldPosition="0">
        <references count="1">
          <reference field="0" count="1">
            <x v="0"/>
          </reference>
        </references>
      </pivotArea>
    </format>
    <format dxfId="516">
      <pivotArea dataOnly="0" labelOnly="1" outline="0" fieldPosition="0">
        <references count="2">
          <reference field="4294967294" count="1">
            <x v="0"/>
          </reference>
          <reference field="0" count="1" selected="0">
            <x v="0"/>
          </reference>
        </references>
      </pivotArea>
    </format>
    <format dxfId="515">
      <pivotArea outline="0" fieldPosition="0">
        <references count="2">
          <reference field="4294967294" count="1" selected="0">
            <x v="0"/>
          </reference>
          <reference field="0" count="1" selected="0">
            <x v="1"/>
          </reference>
        </references>
      </pivotArea>
    </format>
    <format dxfId="514">
      <pivotArea dataOnly="0" labelOnly="1" outline="0" offset="IV1" fieldPosition="0">
        <references count="1">
          <reference field="0" count="1">
            <x v="1"/>
          </reference>
        </references>
      </pivotArea>
    </format>
    <format dxfId="513">
      <pivotArea dataOnly="0" labelOnly="1" outline="0" fieldPosition="0">
        <references count="2">
          <reference field="4294967294" count="1">
            <x v="0"/>
          </reference>
          <reference field="0" count="1" selected="0">
            <x v="1"/>
          </reference>
        </references>
      </pivotArea>
    </format>
    <format dxfId="512">
      <pivotArea outline="0" fieldPosition="0">
        <references count="2">
          <reference field="4294967294" count="1" selected="0">
            <x v="0"/>
          </reference>
          <reference field="0" count="1" selected="0">
            <x v="2"/>
          </reference>
        </references>
      </pivotArea>
    </format>
    <format dxfId="511">
      <pivotArea dataOnly="0" labelOnly="1" outline="0" offset="IV1" fieldPosition="0">
        <references count="1">
          <reference field="0" count="1">
            <x v="2"/>
          </reference>
        </references>
      </pivotArea>
    </format>
    <format dxfId="510">
      <pivotArea dataOnly="0" labelOnly="1" outline="0" fieldPosition="0">
        <references count="2">
          <reference field="4294967294" count="1">
            <x v="0"/>
          </reference>
          <reference field="0" count="1" selected="0">
            <x v="2"/>
          </reference>
        </references>
      </pivotArea>
    </format>
    <format dxfId="509">
      <pivotArea outline="0" fieldPosition="0">
        <references count="2">
          <reference field="4294967294" count="1" selected="0">
            <x v="0"/>
          </reference>
          <reference field="0" count="1" selected="0">
            <x v="3"/>
          </reference>
        </references>
      </pivotArea>
    </format>
    <format dxfId="508">
      <pivotArea dataOnly="0" labelOnly="1" outline="0" offset="IV1" fieldPosition="0">
        <references count="1">
          <reference field="0" count="1">
            <x v="3"/>
          </reference>
        </references>
      </pivotArea>
    </format>
    <format dxfId="507">
      <pivotArea dataOnly="0" labelOnly="1" outline="0" fieldPosition="0">
        <references count="2">
          <reference field="4294967294" count="1">
            <x v="0"/>
          </reference>
          <reference field="0" count="1" selected="0">
            <x v="3"/>
          </reference>
        </references>
      </pivotArea>
    </format>
    <format dxfId="506">
      <pivotArea outline="0" fieldPosition="0">
        <references count="2">
          <reference field="4294967294" count="1" selected="0">
            <x v="0"/>
          </reference>
          <reference field="0" count="1" selected="0">
            <x v="4"/>
          </reference>
        </references>
      </pivotArea>
    </format>
    <format dxfId="505">
      <pivotArea dataOnly="0" labelOnly="1" outline="0" offset="IV1" fieldPosition="0">
        <references count="1">
          <reference field="0" count="1">
            <x v="4"/>
          </reference>
        </references>
      </pivotArea>
    </format>
    <format dxfId="504">
      <pivotArea dataOnly="0" labelOnly="1" outline="0" fieldPosition="0">
        <references count="2">
          <reference field="4294967294" count="1">
            <x v="0"/>
          </reference>
          <reference field="0" count="1" selected="0">
            <x v="4"/>
          </reference>
        </references>
      </pivotArea>
    </format>
    <format dxfId="503">
      <pivotArea outline="0" fieldPosition="0">
        <references count="2">
          <reference field="4294967294" count="1" selected="0">
            <x v="35"/>
          </reference>
          <reference field="0" count="1" selected="0">
            <x v="15"/>
          </reference>
        </references>
      </pivotArea>
    </format>
    <format dxfId="502">
      <pivotArea dataOnly="0" labelOnly="1" outline="0" offset="IV256" fieldPosition="0">
        <references count="1">
          <reference field="0" count="1">
            <x v="15"/>
          </reference>
        </references>
      </pivotArea>
    </format>
    <format dxfId="501">
      <pivotArea dataOnly="0" labelOnly="1" outline="0" fieldPosition="0">
        <references count="2">
          <reference field="4294967294" count="1">
            <x v="35"/>
          </reference>
          <reference field="0" count="1" selected="0">
            <x v="15"/>
          </reference>
        </references>
      </pivotArea>
    </format>
    <format dxfId="500">
      <pivotArea outline="0" fieldPosition="0">
        <references count="4">
          <reference field="4294967294" count="6" selected="0">
            <x v="18"/>
            <x v="19"/>
            <x v="20"/>
            <x v="21"/>
            <x v="22"/>
            <x v="23"/>
          </reference>
          <reference field="0" count="1" selected="0">
            <x v="7"/>
          </reference>
          <reference field="3" count="1" selected="0">
            <x v="2"/>
          </reference>
          <reference field="32" count="1" selected="0">
            <x v="0"/>
          </reference>
        </references>
      </pivotArea>
    </format>
    <format dxfId="499">
      <pivotArea outline="0" fieldPosition="0">
        <references count="4">
          <reference field="4294967294" count="1" selected="0">
            <x v="0"/>
          </reference>
          <reference field="0" count="1" selected="0">
            <x v="3"/>
          </reference>
          <reference field="3" count="1" selected="0">
            <x v="5"/>
          </reference>
          <reference field="32" count="1" selected="0">
            <x v="0"/>
          </reference>
        </references>
      </pivotArea>
    </format>
    <format dxfId="498">
      <pivotArea outline="0" fieldPosition="0">
        <references count="1">
          <reference field="0" count="1" selected="0">
            <x v="0"/>
          </reference>
        </references>
      </pivotArea>
    </format>
    <format dxfId="497">
      <pivotArea dataOnly="0" labelOnly="1" outline="0" fieldPosition="0">
        <references count="1">
          <reference field="0" count="1">
            <x v="0"/>
          </reference>
        </references>
      </pivotArea>
    </format>
    <format dxfId="496">
      <pivotArea dataOnly="0" labelOnly="1" outline="0" fieldPosition="0">
        <references count="2">
          <reference field="4294967294" count="0"/>
          <reference field="0" count="1" selected="0">
            <x v="0"/>
          </reference>
        </references>
      </pivotArea>
    </format>
    <format dxfId="495">
      <pivotArea outline="0" fieldPosition="0">
        <references count="4">
          <reference field="4294967294" count="3" selected="0">
            <x v="6"/>
            <x v="7"/>
            <x v="8"/>
          </reference>
          <reference field="0" count="1" selected="0">
            <x v="0"/>
          </reference>
          <reference field="3" count="1" selected="0">
            <x v="0"/>
          </reference>
          <reference field="32" count="1" selected="0">
            <x v="0"/>
          </reference>
        </references>
      </pivotArea>
    </format>
    <format dxfId="494">
      <pivotArea outline="0" fieldPosition="0">
        <references count="4">
          <reference field="4294967294" count="3" selected="0">
            <x v="18"/>
            <x v="19"/>
            <x v="20"/>
          </reference>
          <reference field="0" count="1" selected="0">
            <x v="0"/>
          </reference>
          <reference field="3" count="1" selected="0">
            <x v="3"/>
          </reference>
          <reference field="32" count="1" selected="0">
            <x v="0"/>
          </reference>
        </references>
      </pivotArea>
    </format>
    <format dxfId="493">
      <pivotArea outline="0" fieldPosition="0">
        <references count="4">
          <reference field="4294967294" count="3" selected="0">
            <x v="24"/>
            <x v="25"/>
            <x v="26"/>
          </reference>
          <reference field="0" count="1" selected="0">
            <x v="0"/>
          </reference>
          <reference field="3" count="1" selected="0">
            <x v="3"/>
          </reference>
          <reference field="32" count="1" selected="0">
            <x v="0"/>
          </reference>
        </references>
      </pivotArea>
    </format>
    <format dxfId="492">
      <pivotArea outline="0" fieldPosition="0">
        <references count="4">
          <reference field="4294967294" count="3" selected="0">
            <x v="18"/>
            <x v="19"/>
            <x v="20"/>
          </reference>
          <reference field="0" count="1" selected="0">
            <x v="0"/>
          </reference>
          <reference field="3" count="1" selected="0">
            <x v="4"/>
          </reference>
          <reference field="32" count="1" selected="0">
            <x v="0"/>
          </reference>
        </references>
      </pivotArea>
    </format>
    <format dxfId="491">
      <pivotArea outline="0" fieldPosition="0">
        <references count="4">
          <reference field="4294967294" count="3" selected="0">
            <x v="24"/>
            <x v="25"/>
            <x v="26"/>
          </reference>
          <reference field="0" count="1" selected="0">
            <x v="0"/>
          </reference>
          <reference field="3" count="1" selected="0">
            <x v="4"/>
          </reference>
          <reference field="32" count="1" selected="0">
            <x v="0"/>
          </reference>
        </references>
      </pivotArea>
    </format>
    <format dxfId="490">
      <pivotArea outline="0" fieldPosition="0">
        <references count="4">
          <reference field="4294967294" count="3" selected="0">
            <x v="24"/>
            <x v="25"/>
            <x v="26"/>
          </reference>
          <reference field="0" count="1" selected="0">
            <x v="0"/>
          </reference>
          <reference field="3" count="1" selected="0">
            <x v="0"/>
          </reference>
          <reference field="32" count="1" selected="0">
            <x v="0"/>
          </reference>
        </references>
      </pivotArea>
    </format>
    <format dxfId="489">
      <pivotArea outline="0" fieldPosition="0">
        <references count="4">
          <reference field="4294967294" count="3" selected="0">
            <x v="9"/>
            <x v="10"/>
            <x v="11"/>
          </reference>
          <reference field="0" count="1" selected="0">
            <x v="0"/>
          </reference>
          <reference field="3" count="1" selected="0">
            <x v="0"/>
          </reference>
          <reference field="32" count="1" selected="0">
            <x v="0"/>
          </reference>
        </references>
      </pivotArea>
    </format>
    <format dxfId="488">
      <pivotArea outline="0" fieldPosition="0">
        <references count="4">
          <reference field="4294967294" count="3" selected="0">
            <x v="6"/>
            <x v="7"/>
            <x v="8"/>
          </reference>
          <reference field="0" count="1" selected="0">
            <x v="0"/>
          </reference>
          <reference field="3" count="1" selected="0">
            <x v="9"/>
          </reference>
          <reference field="32" count="1" selected="0">
            <x v="1"/>
          </reference>
        </references>
      </pivotArea>
    </format>
    <format dxfId="487">
      <pivotArea outline="0" fieldPosition="0">
        <references count="4">
          <reference field="4294967294" count="3" selected="0">
            <x v="6"/>
            <x v="7"/>
            <x v="8"/>
          </reference>
          <reference field="0" count="1" selected="0">
            <x v="0"/>
          </reference>
          <reference field="3" count="1" selected="0">
            <x v="5"/>
          </reference>
          <reference field="32" count="1" selected="0">
            <x v="0"/>
          </reference>
        </references>
      </pivotArea>
    </format>
    <format dxfId="486">
      <pivotArea outline="0" fieldPosition="0">
        <references count="4">
          <reference field="4294967294" count="1" selected="0">
            <x v="10"/>
          </reference>
          <reference field="0" count="1" selected="0">
            <x v="2"/>
          </reference>
          <reference field="3" count="1" selected="0">
            <x v="0"/>
          </reference>
          <reference field="32" count="1" selected="0">
            <x v="0"/>
          </reference>
        </references>
      </pivotArea>
    </format>
    <format dxfId="485">
      <pivotArea outline="0" fieldPosition="0">
        <references count="4">
          <reference field="4294967294" count="3" selected="0">
            <x v="18"/>
            <x v="19"/>
            <x v="20"/>
          </reference>
          <reference field="0" count="1" selected="0">
            <x v="3"/>
          </reference>
          <reference field="3" count="1" selected="0">
            <x v="4"/>
          </reference>
          <reference field="32" count="1" selected="0">
            <x v="0"/>
          </reference>
        </references>
      </pivotArea>
    </format>
    <format dxfId="484">
      <pivotArea outline="0" fieldPosition="0">
        <references count="4">
          <reference field="4294967294" count="1" selected="0">
            <x v="34"/>
          </reference>
          <reference field="0" count="1" selected="0">
            <x v="3"/>
          </reference>
          <reference field="3" count="1" selected="0">
            <x v="0"/>
          </reference>
          <reference field="32" count="1" selected="0">
            <x v="0"/>
          </reference>
        </references>
      </pivotArea>
    </format>
    <format dxfId="483">
      <pivotArea outline="0" fieldPosition="0">
        <references count="4">
          <reference field="4294967294" count="1" selected="0">
            <x v="10"/>
          </reference>
          <reference field="0" count="1" selected="0">
            <x v="3"/>
          </reference>
          <reference field="3" count="1" selected="0">
            <x v="0"/>
          </reference>
          <reference field="32" count="1" selected="0">
            <x v="0"/>
          </reference>
        </references>
      </pivotArea>
    </format>
    <format dxfId="482">
      <pivotArea outline="0" fieldPosition="0">
        <references count="4">
          <reference field="4294967294" count="3" selected="0">
            <x v="21"/>
            <x v="22"/>
            <x v="23"/>
          </reference>
          <reference field="0" count="1" selected="0">
            <x v="3"/>
          </reference>
          <reference field="3" count="1" selected="0">
            <x v="4"/>
          </reference>
          <reference field="32" count="1" selected="0">
            <x v="0"/>
          </reference>
        </references>
      </pivotArea>
    </format>
    <format dxfId="481">
      <pivotArea outline="0" fieldPosition="0">
        <references count="4">
          <reference field="4294967294" count="3" selected="0">
            <x v="6"/>
            <x v="7"/>
            <x v="8"/>
          </reference>
          <reference field="0" count="1" selected="0">
            <x v="4"/>
          </reference>
          <reference field="3" count="1" selected="0">
            <x v="5"/>
          </reference>
          <reference field="32" count="1" selected="0">
            <x v="0"/>
          </reference>
        </references>
      </pivotArea>
    </format>
    <format dxfId="480">
      <pivotArea outline="0" fieldPosition="0">
        <references count="4">
          <reference field="4294967294" count="3" selected="0">
            <x v="0"/>
            <x v="1"/>
            <x v="2"/>
          </reference>
          <reference field="0" count="1" selected="0">
            <x v="4"/>
          </reference>
          <reference field="3" count="1" selected="0">
            <x v="5"/>
          </reference>
          <reference field="32" count="1" selected="0">
            <x v="0"/>
          </reference>
        </references>
      </pivotArea>
    </format>
    <format dxfId="479">
      <pivotArea outline="0" fieldPosition="0">
        <references count="4">
          <reference field="4294967294" count="3" selected="0">
            <x v="6"/>
            <x v="7"/>
            <x v="8"/>
          </reference>
          <reference field="0" count="1" selected="0">
            <x v="4"/>
          </reference>
          <reference field="3" count="1" selected="0">
            <x v="5"/>
          </reference>
          <reference field="32" count="1" selected="0">
            <x v="0"/>
          </reference>
        </references>
      </pivotArea>
    </format>
    <format dxfId="478">
      <pivotArea outline="0" fieldPosition="0">
        <references count="4">
          <reference field="4294967294" count="3" selected="0">
            <x v="21"/>
            <x v="22"/>
            <x v="23"/>
          </reference>
          <reference field="0" count="1" selected="0">
            <x v="3"/>
          </reference>
          <reference field="3" count="1" selected="0">
            <x v="4"/>
          </reference>
          <reference field="32" count="1" selected="0">
            <x v="0"/>
          </reference>
        </references>
      </pivotArea>
    </format>
    <format dxfId="477">
      <pivotArea outline="0" fieldPosition="0">
        <references count="4">
          <reference field="4294967294" count="3" selected="0">
            <x v="21"/>
            <x v="22"/>
            <x v="23"/>
          </reference>
          <reference field="0" count="1" selected="0">
            <x v="4"/>
          </reference>
          <reference field="3" count="1" selected="0">
            <x v="2"/>
          </reference>
          <reference field="32" count="1" selected="0">
            <x v="0"/>
          </reference>
        </references>
      </pivotArea>
    </format>
    <format dxfId="476">
      <pivotArea outline="0" fieldPosition="0">
        <references count="4">
          <reference field="4294967294" count="3" selected="0">
            <x v="24"/>
            <x v="25"/>
            <x v="26"/>
          </reference>
          <reference field="0" count="1" selected="0">
            <x v="4"/>
          </reference>
          <reference field="3" count="1" selected="0">
            <x v="2"/>
          </reference>
          <reference field="32" count="1" selected="0">
            <x v="0"/>
          </reference>
        </references>
      </pivotArea>
    </format>
    <format dxfId="475">
      <pivotArea outline="0" fieldPosition="0">
        <references count="4">
          <reference field="4294967294" count="3" selected="0">
            <x v="21"/>
            <x v="22"/>
            <x v="23"/>
          </reference>
          <reference field="0" count="1" selected="0">
            <x v="4"/>
          </reference>
          <reference field="3" count="1" selected="0">
            <x v="4"/>
          </reference>
          <reference field="32" count="1" selected="0">
            <x v="0"/>
          </reference>
        </references>
      </pivotArea>
    </format>
    <format dxfId="474">
      <pivotArea outline="0" fieldPosition="0">
        <references count="3">
          <reference field="4294967294" count="1" selected="0">
            <x v="34"/>
          </reference>
          <reference field="0" count="1" selected="0">
            <x v="4"/>
          </reference>
          <reference field="32" count="1" selected="0" defaultSubtotal="1">
            <x v="0"/>
          </reference>
        </references>
      </pivotArea>
    </format>
    <format dxfId="473">
      <pivotArea outline="0" fieldPosition="0">
        <references count="4">
          <reference field="4294967294" count="3" selected="0">
            <x v="0"/>
            <x v="1"/>
            <x v="2"/>
          </reference>
          <reference field="0" count="1" selected="0">
            <x v="5"/>
          </reference>
          <reference field="3" count="1" selected="0">
            <x v="1"/>
          </reference>
          <reference field="32" count="1" selected="0">
            <x v="0"/>
          </reference>
        </references>
      </pivotArea>
    </format>
    <format dxfId="472">
      <pivotArea outline="0" fieldPosition="0">
        <references count="4">
          <reference field="4294967294" count="3" selected="0">
            <x v="6"/>
            <x v="7"/>
            <x v="8"/>
          </reference>
          <reference field="0" count="1" selected="0">
            <x v="5"/>
          </reference>
          <reference field="3" count="1" selected="0">
            <x v="1"/>
          </reference>
          <reference field="32" count="1" selected="0">
            <x v="0"/>
          </reference>
        </references>
      </pivotArea>
    </format>
    <format dxfId="471">
      <pivotArea outline="0" fieldPosition="0">
        <references count="4">
          <reference field="4294967294" count="3" selected="0">
            <x v="18"/>
            <x v="19"/>
            <x v="20"/>
          </reference>
          <reference field="0" count="1" selected="0">
            <x v="5"/>
          </reference>
          <reference field="3" count="1" selected="0">
            <x v="1"/>
          </reference>
          <reference field="32" count="1" selected="0">
            <x v="0"/>
          </reference>
        </references>
      </pivotArea>
    </format>
    <format dxfId="470">
      <pivotArea outline="0" fieldPosition="0">
        <references count="4">
          <reference field="4294967294" count="3" selected="0">
            <x v="24"/>
            <x v="25"/>
            <x v="26"/>
          </reference>
          <reference field="0" count="1" selected="0">
            <x v="5"/>
          </reference>
          <reference field="3" count="1" selected="0">
            <x v="1"/>
          </reference>
          <reference field="32" count="1" selected="0">
            <x v="0"/>
          </reference>
        </references>
      </pivotArea>
    </format>
    <format dxfId="469">
      <pivotArea outline="0" fieldPosition="0">
        <references count="4">
          <reference field="4294967294" count="3" selected="0">
            <x v="24"/>
            <x v="25"/>
            <x v="26"/>
          </reference>
          <reference field="0" count="1" selected="0">
            <x v="5"/>
          </reference>
          <reference field="3" count="1" selected="0">
            <x v="2"/>
          </reference>
          <reference field="32" count="1" selected="0">
            <x v="0"/>
          </reference>
        </references>
      </pivotArea>
    </format>
    <format dxfId="468">
      <pivotArea outline="0" fieldPosition="0">
        <references count="4">
          <reference field="4294967294" count="3" selected="0">
            <x v="24"/>
            <x v="25"/>
            <x v="26"/>
          </reference>
          <reference field="0" count="1" selected="0">
            <x v="5"/>
          </reference>
          <reference field="3" count="1" selected="0">
            <x v="3"/>
          </reference>
          <reference field="32" count="1" selected="0">
            <x v="0"/>
          </reference>
        </references>
      </pivotArea>
    </format>
    <format dxfId="467">
      <pivotArea outline="0" fieldPosition="0">
        <references count="4">
          <reference field="4294967294" count="3" selected="0">
            <x v="0"/>
            <x v="1"/>
            <x v="2"/>
          </reference>
          <reference field="0" count="1" selected="0">
            <x v="5"/>
          </reference>
          <reference field="3" count="1" selected="0">
            <x v="9"/>
          </reference>
          <reference field="32" count="1" selected="0">
            <x v="1"/>
          </reference>
        </references>
      </pivotArea>
    </format>
    <format dxfId="466">
      <pivotArea outline="0" fieldPosition="0">
        <references count="4">
          <reference field="4294967294" count="3" selected="0">
            <x v="6"/>
            <x v="7"/>
            <x v="8"/>
          </reference>
          <reference field="0" count="1" selected="0">
            <x v="5"/>
          </reference>
          <reference field="3" count="1" selected="0">
            <x v="9"/>
          </reference>
          <reference field="32" count="1" selected="0">
            <x v="1"/>
          </reference>
        </references>
      </pivotArea>
    </format>
    <format dxfId="465">
      <pivotArea outline="0" fieldPosition="0">
        <references count="4">
          <reference field="4294967294" count="3" selected="0">
            <x v="0"/>
            <x v="1"/>
            <x v="2"/>
          </reference>
          <reference field="0" count="1" selected="0">
            <x v="6"/>
          </reference>
          <reference field="3" count="1" selected="0">
            <x v="1"/>
          </reference>
          <reference field="32" count="1" selected="0">
            <x v="0"/>
          </reference>
        </references>
      </pivotArea>
    </format>
    <format dxfId="464">
      <pivotArea outline="0" fieldPosition="0">
        <references count="4">
          <reference field="4294967294" count="1" selected="0">
            <x v="4"/>
          </reference>
          <reference field="0" count="1" selected="0">
            <x v="6"/>
          </reference>
          <reference field="3" count="5" selected="0">
            <x v="0"/>
            <x v="1"/>
            <x v="2"/>
            <x v="3"/>
            <x v="4"/>
          </reference>
          <reference field="32" count="1" selected="0">
            <x v="0"/>
          </reference>
        </references>
      </pivotArea>
    </format>
    <format dxfId="463">
      <pivotArea outline="0" fieldPosition="0">
        <references count="4">
          <reference field="4294967294" count="1" selected="0">
            <x v="22"/>
          </reference>
          <reference field="0" count="1" selected="0">
            <x v="6"/>
          </reference>
          <reference field="3" count="5" selected="0">
            <x v="0"/>
            <x v="1"/>
            <x v="2"/>
            <x v="3"/>
            <x v="4"/>
          </reference>
          <reference field="32" count="1" selected="0">
            <x v="0"/>
          </reference>
        </references>
      </pivotArea>
    </format>
    <format dxfId="462">
      <pivotArea outline="0" fieldPosition="0">
        <references count="3">
          <reference field="4294967294" count="1" selected="0">
            <x v="4"/>
          </reference>
          <reference field="0" count="1" selected="0">
            <x v="6"/>
          </reference>
          <reference field="32" count="1" selected="0">
            <x v="1"/>
          </reference>
        </references>
      </pivotArea>
    </format>
    <format dxfId="461">
      <pivotArea outline="0" fieldPosition="0">
        <references count="3">
          <reference field="4294967294" count="1" selected="0">
            <x v="4"/>
          </reference>
          <reference field="0" count="1" selected="0">
            <x v="6"/>
          </reference>
          <reference field="32" count="1" selected="0">
            <x v="2"/>
          </reference>
        </references>
      </pivotArea>
    </format>
    <format dxfId="460">
      <pivotArea outline="0" fieldPosition="0">
        <references count="4">
          <reference field="4294967294" count="3" selected="0">
            <x v="3"/>
            <x v="4"/>
            <x v="5"/>
          </reference>
          <reference field="0" count="1" selected="0">
            <x v="7"/>
          </reference>
          <reference field="3" count="1" selected="0">
            <x v="12"/>
          </reference>
          <reference field="32" count="1" selected="0">
            <x v="0"/>
          </reference>
        </references>
      </pivotArea>
    </format>
    <format dxfId="459">
      <pivotArea outline="0" fieldPosition="0">
        <references count="4">
          <reference field="4294967294" count="3" selected="0">
            <x v="6"/>
            <x v="7"/>
            <x v="8"/>
          </reference>
          <reference field="0" count="1" selected="0">
            <x v="7"/>
          </reference>
          <reference field="3" count="1" selected="0">
            <x v="12"/>
          </reference>
          <reference field="32" count="1" selected="0">
            <x v="0"/>
          </reference>
        </references>
      </pivotArea>
    </format>
    <format dxfId="458">
      <pivotArea outline="0" fieldPosition="0">
        <references count="4">
          <reference field="4294967294" count="3" selected="0">
            <x v="18"/>
            <x v="19"/>
            <x v="20"/>
          </reference>
          <reference field="0" count="1" selected="0">
            <x v="7"/>
          </reference>
          <reference field="3" count="1" selected="0">
            <x v="2"/>
          </reference>
          <reference field="32" count="1" selected="0">
            <x v="0"/>
          </reference>
        </references>
      </pivotArea>
    </format>
    <format dxfId="457">
      <pivotArea outline="0" fieldPosition="0">
        <references count="4">
          <reference field="4294967294" count="3" selected="0">
            <x v="21"/>
            <x v="22"/>
            <x v="23"/>
          </reference>
          <reference field="0" count="1" selected="0">
            <x v="7"/>
          </reference>
          <reference field="3" count="1" selected="0">
            <x v="2"/>
          </reference>
          <reference field="32" count="1" selected="0">
            <x v="0"/>
          </reference>
        </references>
      </pivotArea>
    </format>
    <format dxfId="456">
      <pivotArea outline="0" fieldPosition="0">
        <references count="4">
          <reference field="4294967294" count="3" selected="0">
            <x v="24"/>
            <x v="25"/>
            <x v="26"/>
          </reference>
          <reference field="0" count="1" selected="0">
            <x v="8"/>
          </reference>
          <reference field="3" count="1" selected="0">
            <x v="1"/>
          </reference>
          <reference field="32" count="1" selected="0">
            <x v="0"/>
          </reference>
        </references>
      </pivotArea>
    </format>
    <format dxfId="455">
      <pivotArea outline="0" fieldPosition="0">
        <references count="4">
          <reference field="4294967294" count="3" selected="0">
            <x v="21"/>
            <x v="22"/>
            <x v="23"/>
          </reference>
          <reference field="0" count="1" selected="0">
            <x v="9"/>
          </reference>
          <reference field="3" count="1" selected="0">
            <x v="2"/>
          </reference>
          <reference field="32" count="1" selected="0">
            <x v="0"/>
          </reference>
        </references>
      </pivotArea>
    </format>
    <format dxfId="454">
      <pivotArea outline="0" fieldPosition="0">
        <references count="4">
          <reference field="4294967294" count="3" selected="0">
            <x v="21"/>
            <x v="22"/>
            <x v="23"/>
          </reference>
          <reference field="0" count="1" selected="0">
            <x v="9"/>
          </reference>
          <reference field="3" count="1" selected="0">
            <x v="3"/>
          </reference>
          <reference field="32" count="1" selected="0">
            <x v="0"/>
          </reference>
        </references>
      </pivotArea>
    </format>
    <format dxfId="453">
      <pivotArea outline="0" fieldPosition="0">
        <references count="4">
          <reference field="4294967294" count="3" selected="0">
            <x v="24"/>
            <x v="25"/>
            <x v="26"/>
          </reference>
          <reference field="0" count="1" selected="0">
            <x v="9"/>
          </reference>
          <reference field="3" count="1" selected="0">
            <x v="4"/>
          </reference>
          <reference field="32" count="1" selected="0">
            <x v="0"/>
          </reference>
        </references>
      </pivotArea>
    </format>
    <format dxfId="452">
      <pivotArea outline="0" fieldPosition="0">
        <references count="4">
          <reference field="4294967294" count="3" selected="0">
            <x v="18"/>
            <x v="19"/>
            <x v="20"/>
          </reference>
          <reference field="0" count="1" selected="0">
            <x v="9"/>
          </reference>
          <reference field="3" count="1" selected="0">
            <x v="4"/>
          </reference>
          <reference field="32" count="1" selected="0">
            <x v="0"/>
          </reference>
        </references>
      </pivotArea>
    </format>
    <format dxfId="451">
      <pivotArea outline="0" fieldPosition="0">
        <references count="4">
          <reference field="4294967294" count="3" selected="0">
            <x v="18"/>
            <x v="19"/>
            <x v="20"/>
          </reference>
          <reference field="0" count="1" selected="0">
            <x v="9"/>
          </reference>
          <reference field="3" count="1" selected="0">
            <x v="3"/>
          </reference>
          <reference field="32" count="1" selected="0">
            <x v="0"/>
          </reference>
        </references>
      </pivotArea>
    </format>
    <format dxfId="450">
      <pivotArea outline="0" fieldPosition="0">
        <references count="4">
          <reference field="4294967294" count="3" selected="0">
            <x v="18"/>
            <x v="19"/>
            <x v="20"/>
          </reference>
          <reference field="0" count="1" selected="0">
            <x v="10"/>
          </reference>
          <reference field="3" count="1" selected="0">
            <x v="0"/>
          </reference>
          <reference field="32" count="1" selected="0">
            <x v="0"/>
          </reference>
        </references>
      </pivotArea>
    </format>
    <format dxfId="449">
      <pivotArea outline="0" fieldPosition="0">
        <references count="4">
          <reference field="4294967294" count="3" selected="0">
            <x v="21"/>
            <x v="22"/>
            <x v="23"/>
          </reference>
          <reference field="0" count="1" selected="0">
            <x v="10"/>
          </reference>
          <reference field="3" count="1" selected="0">
            <x v="0"/>
          </reference>
          <reference field="32" count="1" selected="0">
            <x v="0"/>
          </reference>
        </references>
      </pivotArea>
    </format>
    <format dxfId="448">
      <pivotArea outline="0" fieldPosition="0">
        <references count="4">
          <reference field="4294967294" count="3" selected="0">
            <x v="18"/>
            <x v="19"/>
            <x v="20"/>
          </reference>
          <reference field="0" count="1" selected="0">
            <x v="10"/>
          </reference>
          <reference field="3" count="1" selected="0">
            <x v="4"/>
          </reference>
          <reference field="32" count="1" selected="0">
            <x v="0"/>
          </reference>
        </references>
      </pivotArea>
    </format>
    <format dxfId="447">
      <pivotArea outline="0" fieldPosition="0">
        <references count="4">
          <reference field="4294967294" count="3" selected="0">
            <x v="24"/>
            <x v="25"/>
            <x v="26"/>
          </reference>
          <reference field="0" count="1" selected="0">
            <x v="10"/>
          </reference>
          <reference field="3" count="1" selected="0">
            <x v="4"/>
          </reference>
          <reference field="32" count="1" selected="0">
            <x v="0"/>
          </reference>
        </references>
      </pivotArea>
    </format>
    <format dxfId="446">
      <pivotArea outline="0" fieldPosition="0">
        <references count="4">
          <reference field="4294967294" count="3" selected="0">
            <x v="27"/>
            <x v="28"/>
            <x v="29"/>
          </reference>
          <reference field="0" count="1" selected="0">
            <x v="10"/>
          </reference>
          <reference field="3" count="1" selected="0">
            <x v="4"/>
          </reference>
          <reference field="32" count="1" selected="0">
            <x v="0"/>
          </reference>
        </references>
      </pivotArea>
    </format>
    <format dxfId="445">
      <pivotArea outline="0" fieldPosition="0">
        <references count="4">
          <reference field="4294967294" count="3" selected="0">
            <x v="27"/>
            <x v="28"/>
            <x v="29"/>
          </reference>
          <reference field="0" count="1" selected="0">
            <x v="10"/>
          </reference>
          <reference field="3" count="1" selected="0">
            <x v="0"/>
          </reference>
          <reference field="32" count="1" selected="0">
            <x v="0"/>
          </reference>
        </references>
      </pivotArea>
    </format>
    <format dxfId="444">
      <pivotArea outline="0" fieldPosition="0">
        <references count="4">
          <reference field="4294967294" count="3" selected="0">
            <x v="0"/>
            <x v="1"/>
            <x v="2"/>
          </reference>
          <reference field="0" count="1" selected="0">
            <x v="13"/>
          </reference>
          <reference field="3" count="1" selected="0">
            <x v="4"/>
          </reference>
          <reference field="32" count="1" selected="0">
            <x v="0"/>
          </reference>
        </references>
      </pivotArea>
    </format>
    <format dxfId="443">
      <pivotArea outline="0" fieldPosition="0">
        <references count="4">
          <reference field="4294967294" count="3" selected="0">
            <x v="0"/>
            <x v="1"/>
            <x v="2"/>
          </reference>
          <reference field="0" count="1" selected="0">
            <x v="13"/>
          </reference>
          <reference field="3" count="1" selected="0">
            <x v="3"/>
          </reference>
          <reference field="32" count="1" selected="0">
            <x v="0"/>
          </reference>
        </references>
      </pivotArea>
    </format>
    <format dxfId="442">
      <pivotArea outline="0" fieldPosition="0">
        <references count="4">
          <reference field="4294967294" count="3" selected="0">
            <x v="6"/>
            <x v="7"/>
            <x v="8"/>
          </reference>
          <reference field="0" count="1" selected="0">
            <x v="13"/>
          </reference>
          <reference field="3" count="1" selected="0">
            <x v="4"/>
          </reference>
          <reference field="32" count="1" selected="0">
            <x v="0"/>
          </reference>
        </references>
      </pivotArea>
    </format>
    <format dxfId="441">
      <pivotArea outline="0" fieldPosition="0">
        <references count="4">
          <reference field="4294967294" count="3" selected="0">
            <x v="18"/>
            <x v="19"/>
            <x v="20"/>
          </reference>
          <reference field="0" count="1" selected="0">
            <x v="13"/>
          </reference>
          <reference field="3" count="1" selected="0">
            <x v="5"/>
          </reference>
          <reference field="32" count="1" selected="0">
            <x v="0"/>
          </reference>
        </references>
      </pivotArea>
    </format>
    <format dxfId="440">
      <pivotArea outline="0" fieldPosition="0">
        <references count="4">
          <reference field="4294967294" count="3" selected="0">
            <x v="21"/>
            <x v="22"/>
            <x v="23"/>
          </reference>
          <reference field="0" count="1" selected="0">
            <x v="13"/>
          </reference>
          <reference field="3" count="1" selected="0">
            <x v="5"/>
          </reference>
          <reference field="32" count="1" selected="0">
            <x v="0"/>
          </reference>
        </references>
      </pivotArea>
    </format>
    <format dxfId="439">
      <pivotArea outline="0" fieldPosition="0">
        <references count="4">
          <reference field="4294967294" count="3" selected="0">
            <x v="0"/>
            <x v="1"/>
            <x v="2"/>
          </reference>
          <reference field="0" count="1" selected="0">
            <x v="13"/>
          </reference>
          <reference field="3" count="1" selected="0">
            <x v="9"/>
          </reference>
          <reference field="32" count="1" selected="0">
            <x v="1"/>
          </reference>
        </references>
      </pivotArea>
    </format>
    <format dxfId="438">
      <pivotArea outline="0" fieldPosition="0">
        <references count="4">
          <reference field="4294967294" count="3" selected="0">
            <x v="3"/>
            <x v="4"/>
            <x v="5"/>
          </reference>
          <reference field="0" count="1" selected="0">
            <x v="13"/>
          </reference>
          <reference field="3" count="1" selected="0">
            <x v="9"/>
          </reference>
          <reference field="32" count="1" selected="0">
            <x v="1"/>
          </reference>
        </references>
      </pivotArea>
    </format>
    <format dxfId="437">
      <pivotArea outline="0" fieldPosition="0">
        <references count="4">
          <reference field="4294967294" count="3" selected="0">
            <x v="6"/>
            <x v="7"/>
            <x v="8"/>
          </reference>
          <reference field="0" count="1" selected="0">
            <x v="13"/>
          </reference>
          <reference field="3" count="1" selected="0">
            <x v="9"/>
          </reference>
          <reference field="32" count="1" selected="0">
            <x v="1"/>
          </reference>
        </references>
      </pivotArea>
    </format>
    <format dxfId="436">
      <pivotArea outline="0" fieldPosition="0">
        <references count="4">
          <reference field="4294967294" count="3" selected="0">
            <x v="24"/>
            <x v="25"/>
            <x v="26"/>
          </reference>
          <reference field="0" count="1" selected="0">
            <x v="13"/>
          </reference>
          <reference field="3" count="1" selected="0">
            <x v="1"/>
          </reference>
          <reference field="32" count="1" selected="0">
            <x v="0"/>
          </reference>
        </references>
      </pivotArea>
    </format>
    <format dxfId="435">
      <pivotArea outline="0" fieldPosition="0">
        <references count="4">
          <reference field="4294967294" count="3" selected="0">
            <x v="18"/>
            <x v="19"/>
            <x v="20"/>
          </reference>
          <reference field="0" count="1" selected="0">
            <x v="15"/>
          </reference>
          <reference field="3" count="1" selected="0">
            <x v="0"/>
          </reference>
          <reference field="32" count="1" selected="0">
            <x v="0"/>
          </reference>
        </references>
      </pivotArea>
    </format>
    <format dxfId="434">
      <pivotArea outline="0" fieldPosition="0">
        <references count="4">
          <reference field="4294967294" count="3" selected="0">
            <x v="18"/>
            <x v="19"/>
            <x v="20"/>
          </reference>
          <reference field="0" count="1" selected="0">
            <x v="15"/>
          </reference>
          <reference field="3" count="1" selected="0">
            <x v="5"/>
          </reference>
          <reference field="32" count="1" selected="0">
            <x v="0"/>
          </reference>
        </references>
      </pivotArea>
    </format>
    <format dxfId="433">
      <pivotArea outline="0" fieldPosition="0">
        <references count="4">
          <reference field="4294967294" count="3" selected="0">
            <x v="24"/>
            <x v="25"/>
            <x v="26"/>
          </reference>
          <reference field="0" count="1" selected="0">
            <x v="15"/>
          </reference>
          <reference field="3" count="1" selected="0">
            <x v="5"/>
          </reference>
          <reference field="32" count="1" selected="0">
            <x v="0"/>
          </reference>
        </references>
      </pivotArea>
    </format>
    <format dxfId="432">
      <pivotArea outline="0" fieldPosition="0">
        <references count="4">
          <reference field="4294967294" count="3" selected="0">
            <x v="21"/>
            <x v="22"/>
            <x v="23"/>
          </reference>
          <reference field="0" count="1" selected="0">
            <x v="15"/>
          </reference>
          <reference field="3" count="1" selected="0">
            <x v="2"/>
          </reference>
          <reference field="32" count="1" selected="0">
            <x v="0"/>
          </reference>
        </references>
      </pivotArea>
    </format>
    <format dxfId="431">
      <pivotArea outline="0" fieldPosition="0">
        <references count="4">
          <reference field="4294967294" count="3" selected="0">
            <x v="24"/>
            <x v="25"/>
            <x v="26"/>
          </reference>
          <reference field="0" count="1" selected="0">
            <x v="15"/>
          </reference>
          <reference field="3" count="1" selected="0">
            <x v="2"/>
          </reference>
          <reference field="32" count="1" selected="0">
            <x v="0"/>
          </reference>
        </references>
      </pivotArea>
    </format>
    <format dxfId="430">
      <pivotArea outline="0" fieldPosition="0">
        <references count="4">
          <reference field="4294967294" count="3" selected="0">
            <x v="0"/>
            <x v="1"/>
            <x v="2"/>
          </reference>
          <reference field="0" count="1" selected="0">
            <x v="15"/>
          </reference>
          <reference field="3" count="1" selected="0">
            <x v="8"/>
          </reference>
          <reference field="32" count="1" selected="0">
            <x v="1"/>
          </reference>
        </references>
      </pivotArea>
    </format>
    <format dxfId="429">
      <pivotArea outline="0" fieldPosition="0">
        <references count="4">
          <reference field="4294967294" count="3" selected="0">
            <x v="3"/>
            <x v="4"/>
            <x v="5"/>
          </reference>
          <reference field="0" count="1" selected="0">
            <x v="15"/>
          </reference>
          <reference field="3" count="1" selected="0">
            <x v="8"/>
          </reference>
          <reference field="32" count="1" selected="0">
            <x v="1"/>
          </reference>
        </references>
      </pivotArea>
    </format>
    <format dxfId="428">
      <pivotArea dataOnly="0" labelOnly="1" outline="0" fieldPosition="0">
        <references count="2">
          <reference field="4294967294" count="1">
            <x v="5"/>
          </reference>
          <reference field="0" count="1" selected="0">
            <x v="0"/>
          </reference>
        </references>
      </pivotArea>
    </format>
    <format dxfId="427">
      <pivotArea dataOnly="0" labelOnly="1" outline="0" fieldPosition="0">
        <references count="2">
          <reference field="4294967294" count="1">
            <x v="8"/>
          </reference>
          <reference field="0" count="1" selected="0">
            <x v="0"/>
          </reference>
        </references>
      </pivotArea>
    </format>
    <format dxfId="426">
      <pivotArea dataOnly="0" labelOnly="1" outline="0" fieldPosition="0">
        <references count="2">
          <reference field="4294967294" count="1">
            <x v="11"/>
          </reference>
          <reference field="0" count="1" selected="0">
            <x v="0"/>
          </reference>
        </references>
      </pivotArea>
    </format>
    <format dxfId="425">
      <pivotArea dataOnly="0" labelOnly="1" outline="0" fieldPosition="0">
        <references count="2">
          <reference field="4294967294" count="1">
            <x v="14"/>
          </reference>
          <reference field="0" count="1" selected="0">
            <x v="0"/>
          </reference>
        </references>
      </pivotArea>
    </format>
    <format dxfId="424">
      <pivotArea dataOnly="0" labelOnly="1" outline="0" fieldPosition="0">
        <references count="2">
          <reference field="4294967294" count="1">
            <x v="17"/>
          </reference>
          <reference field="0" count="1" selected="0">
            <x v="0"/>
          </reference>
        </references>
      </pivotArea>
    </format>
    <format dxfId="423">
      <pivotArea dataOnly="0" labelOnly="1" outline="0" fieldPosition="0">
        <references count="2">
          <reference field="4294967294" count="1">
            <x v="20"/>
          </reference>
          <reference field="0" count="1" selected="0">
            <x v="0"/>
          </reference>
        </references>
      </pivotArea>
    </format>
    <format dxfId="422">
      <pivotArea dataOnly="0" labelOnly="1" outline="0" fieldPosition="0">
        <references count="2">
          <reference field="4294967294" count="1">
            <x v="23"/>
          </reference>
          <reference field="0" count="1" selected="0">
            <x v="0"/>
          </reference>
        </references>
      </pivotArea>
    </format>
    <format dxfId="421">
      <pivotArea dataOnly="0" labelOnly="1" outline="0" fieldPosition="0">
        <references count="2">
          <reference field="4294967294" count="1">
            <x v="26"/>
          </reference>
          <reference field="0" count="1" selected="0">
            <x v="0"/>
          </reference>
        </references>
      </pivotArea>
    </format>
    <format dxfId="420">
      <pivotArea dataOnly="0" labelOnly="1" outline="0" fieldPosition="0">
        <references count="2">
          <reference field="4294967294" count="1">
            <x v="29"/>
          </reference>
          <reference field="0" count="1" selected="0">
            <x v="0"/>
          </reference>
        </references>
      </pivotArea>
    </format>
    <format dxfId="419">
      <pivotArea dataOnly="0" labelOnly="1" outline="0" fieldPosition="0">
        <references count="2">
          <reference field="4294967294" count="1">
            <x v="32"/>
          </reference>
          <reference field="0" count="1" selected="0">
            <x v="0"/>
          </reference>
        </references>
      </pivotArea>
    </format>
    <format dxfId="418">
      <pivotArea dataOnly="0" labelOnly="1" outline="0" fieldPosition="0">
        <references count="2">
          <reference field="4294967294" count="1">
            <x v="35"/>
          </reference>
          <reference field="0" count="1" selected="0">
            <x v="0"/>
          </reference>
        </references>
      </pivotArea>
    </format>
    <format dxfId="417">
      <pivotArea outline="0" fieldPosition="0">
        <references count="4">
          <reference field="4294967294" count="3" selected="0">
            <x v="0"/>
            <x v="1"/>
            <x v="2"/>
          </reference>
          <reference field="0" count="1" selected="0">
            <x v="1"/>
          </reference>
          <reference field="3" count="1" selected="0">
            <x v="5"/>
          </reference>
          <reference field="32" count="1" selected="0">
            <x v="0"/>
          </reference>
        </references>
      </pivotArea>
    </format>
    <format dxfId="416">
      <pivotArea outline="0" fieldPosition="0">
        <references count="4">
          <reference field="4294967294" count="1" selected="0">
            <x v="6"/>
          </reference>
          <reference field="0" count="1" selected="0">
            <x v="1"/>
          </reference>
          <reference field="3" count="1" selected="0">
            <x v="0"/>
          </reference>
          <reference field="32" count="1" selected="0">
            <x v="0"/>
          </reference>
        </references>
      </pivotArea>
    </format>
    <format dxfId="415">
      <pivotArea outline="0" fieldPosition="0">
        <references count="4">
          <reference field="4294967294" count="3" selected="0">
            <x v="18"/>
            <x v="19"/>
            <x v="20"/>
          </reference>
          <reference field="0" count="1" selected="0">
            <x v="1"/>
          </reference>
          <reference field="3" count="1" selected="0">
            <x v="5"/>
          </reference>
          <reference field="32" count="1" selected="0">
            <x v="0"/>
          </reference>
        </references>
      </pivotArea>
    </format>
    <format dxfId="414">
      <pivotArea outline="0" fieldPosition="0">
        <references count="4">
          <reference field="4294967294" count="1" selected="0">
            <x v="6"/>
          </reference>
          <reference field="0" count="1" selected="0">
            <x v="1"/>
          </reference>
          <reference field="3" count="1" selected="0">
            <x v="5"/>
          </reference>
          <reference field="32" count="1" selected="0">
            <x v="0"/>
          </reference>
        </references>
      </pivotArea>
    </format>
    <format dxfId="413">
      <pivotArea outline="0" fieldPosition="0">
        <references count="4">
          <reference field="4294967294" count="3" selected="0">
            <x v="6"/>
            <x v="7"/>
            <x v="8"/>
          </reference>
          <reference field="0" count="1" selected="0">
            <x v="1"/>
          </reference>
          <reference field="3" count="1" selected="0">
            <x v="8"/>
          </reference>
          <reference field="32" count="1" selected="0">
            <x v="1"/>
          </reference>
        </references>
      </pivotArea>
    </format>
    <format dxfId="412">
      <pivotArea outline="0" fieldPosition="0">
        <references count="4">
          <reference field="4294967294" count="3" selected="0">
            <x v="0"/>
            <x v="1"/>
            <x v="2"/>
          </reference>
          <reference field="0" count="1" selected="0">
            <x v="1"/>
          </reference>
          <reference field="3" count="1" selected="0">
            <x v="8"/>
          </reference>
          <reference field="32" count="1" selected="0">
            <x v="1"/>
          </reference>
        </references>
      </pivotArea>
    </format>
    <format dxfId="411">
      <pivotArea outline="0" fieldPosition="0">
        <references count="4">
          <reference field="4294967294" count="3" selected="0">
            <x v="0"/>
            <x v="1"/>
            <x v="2"/>
          </reference>
          <reference field="0" count="1" selected="0">
            <x v="1"/>
          </reference>
          <reference field="3" count="1" selected="0">
            <x v="9"/>
          </reference>
          <reference field="32" count="1" selected="0">
            <x v="1"/>
          </reference>
        </references>
      </pivotArea>
    </format>
    <format dxfId="410">
      <pivotArea outline="0" fieldPosition="0">
        <references count="4">
          <reference field="4294967294" count="3" selected="0">
            <x v="3"/>
            <x v="4"/>
            <x v="5"/>
          </reference>
          <reference field="0" count="1" selected="0">
            <x v="1"/>
          </reference>
          <reference field="3" count="1" selected="0">
            <x v="8"/>
          </reference>
          <reference field="32" count="1" selected="0">
            <x v="1"/>
          </reference>
        </references>
      </pivotArea>
    </format>
    <format dxfId="409">
      <pivotArea outline="0" fieldPosition="0">
        <references count="4">
          <reference field="4294967294" count="3" selected="0">
            <x v="6"/>
            <x v="7"/>
            <x v="8"/>
          </reference>
          <reference field="0" count="1" selected="0">
            <x v="1"/>
          </reference>
          <reference field="3" count="1" selected="0">
            <x v="9"/>
          </reference>
          <reference field="32" count="1" selected="0">
            <x v="1"/>
          </reference>
        </references>
      </pivotArea>
    </format>
    <format dxfId="408">
      <pivotArea outline="0" fieldPosition="0">
        <references count="4">
          <reference field="4294967294" count="3" selected="0">
            <x v="18"/>
            <x v="19"/>
            <x v="20"/>
          </reference>
          <reference field="0" count="1" selected="0">
            <x v="1"/>
          </reference>
          <reference field="3" count="1" selected="0">
            <x v="4"/>
          </reference>
          <reference field="32" count="1" selected="0">
            <x v="0"/>
          </reference>
        </references>
      </pivotArea>
    </format>
    <format dxfId="407">
      <pivotArea outline="0" fieldPosition="0">
        <references count="4">
          <reference field="4294967294" count="1" selected="0">
            <x v="18"/>
          </reference>
          <reference field="0" count="1" selected="0">
            <x v="1"/>
          </reference>
          <reference field="3" count="1" selected="0">
            <x v="3"/>
          </reference>
          <reference field="32" count="1" selected="0">
            <x v="0"/>
          </reference>
        </references>
      </pivotArea>
    </format>
    <format dxfId="406">
      <pivotArea outline="0" fieldPosition="0">
        <references count="4">
          <reference field="4294967294" count="3" selected="0">
            <x v="24"/>
            <x v="25"/>
            <x v="26"/>
          </reference>
          <reference field="0" count="1" selected="0">
            <x v="1"/>
          </reference>
          <reference field="3" count="1" selected="0">
            <x v="0"/>
          </reference>
          <reference field="32" count="1" selected="0">
            <x v="0"/>
          </reference>
        </references>
      </pivotArea>
    </format>
    <format dxfId="405">
      <pivotArea outline="0" fieldPosition="0">
        <references count="4">
          <reference field="4294967294" count="3" selected="0">
            <x v="27"/>
            <x v="28"/>
            <x v="29"/>
          </reference>
          <reference field="0" count="1" selected="0">
            <x v="1"/>
          </reference>
          <reference field="3" count="1" selected="0">
            <x v="0"/>
          </reference>
          <reference field="32" count="1" selected="0">
            <x v="0"/>
          </reference>
        </references>
      </pivotArea>
    </format>
    <format dxfId="404">
      <pivotArea outline="0" fieldPosition="0">
        <references count="4">
          <reference field="4294967294" count="3" selected="0">
            <x v="24"/>
            <x v="25"/>
            <x v="26"/>
          </reference>
          <reference field="0" count="1" selected="0">
            <x v="1"/>
          </reference>
          <reference field="3" count="1" selected="0">
            <x v="5"/>
          </reference>
          <reference field="32" count="1" selected="0">
            <x v="0"/>
          </reference>
        </references>
      </pivotArea>
    </format>
    <format dxfId="403">
      <pivotArea outline="0" fieldPosition="0">
        <references count="4">
          <reference field="4294967294" count="1" selected="0">
            <x v="24"/>
          </reference>
          <reference field="0" count="1" selected="0">
            <x v="1"/>
          </reference>
          <reference field="3" count="1" selected="0">
            <x v="3"/>
          </reference>
          <reference field="32" count="1" selected="0">
            <x v="0"/>
          </reference>
        </references>
      </pivotArea>
    </format>
    <format dxfId="402">
      <pivotArea outline="0" fieldPosition="0">
        <references count="4">
          <reference field="4294967294" count="1" selected="0">
            <x v="24"/>
          </reference>
          <reference field="0" count="1" selected="0">
            <x v="1"/>
          </reference>
          <reference field="3" count="1" selected="0">
            <x v="4"/>
          </reference>
          <reference field="32" count="1" selected="0">
            <x v="0"/>
          </reference>
        </references>
      </pivotArea>
    </format>
    <format dxfId="401">
      <pivotArea outline="0" fieldPosition="0">
        <references count="4">
          <reference field="4294967294" count="3" selected="0">
            <x v="18"/>
            <x v="19"/>
            <x v="20"/>
          </reference>
          <reference field="0" count="1" selected="0">
            <x v="1"/>
          </reference>
          <reference field="3" count="1" selected="0">
            <x v="0"/>
          </reference>
          <reference field="32" count="1" selected="0">
            <x v="0"/>
          </reference>
        </references>
      </pivotArea>
    </format>
    <format dxfId="400">
      <pivotArea outline="0" fieldPosition="0">
        <references count="4">
          <reference field="4294967294" count="3" selected="0">
            <x v="21"/>
            <x v="22"/>
            <x v="23"/>
          </reference>
          <reference field="0" count="1" selected="0">
            <x v="1"/>
          </reference>
          <reference field="3" count="1" selected="0">
            <x v="0"/>
          </reference>
          <reference field="32" count="1" selected="0">
            <x v="0"/>
          </reference>
        </references>
      </pivotArea>
    </format>
    <format dxfId="399">
      <pivotArea outline="0" fieldPosition="0">
        <references count="4">
          <reference field="4294967294" count="3" selected="0">
            <x v="18"/>
            <x v="19"/>
            <x v="20"/>
          </reference>
          <reference field="0" count="1" selected="0">
            <x v="1"/>
          </reference>
          <reference field="3" count="1" selected="0">
            <x v="2"/>
          </reference>
          <reference field="32" count="1" selected="0">
            <x v="0"/>
          </reference>
        </references>
      </pivotArea>
    </format>
    <format dxfId="398">
      <pivotArea outline="0" fieldPosition="0">
        <references count="2">
          <reference field="4294967294" count="1" selected="0">
            <x v="2"/>
          </reference>
          <reference field="0" count="1" selected="0">
            <x v="2"/>
          </reference>
        </references>
      </pivotArea>
    </format>
    <format dxfId="397">
      <pivotArea outline="0" fieldPosition="0">
        <references count="2">
          <reference field="4294967294" count="1" selected="0">
            <x v="26"/>
          </reference>
          <reference field="0" count="1" selected="0">
            <x v="15"/>
          </reference>
        </references>
      </pivotArea>
    </format>
    <format dxfId="396">
      <pivotArea field="0" grandRow="1" outline="0" axis="axisRow" fieldPosition="0">
        <references count="1">
          <reference field="4294967294" count="1" selected="0">
            <x v="2"/>
          </reference>
        </references>
      </pivotArea>
    </format>
    <format dxfId="395">
      <pivotArea field="0" grandRow="1" outline="0" axis="axisRow" fieldPosition="0">
        <references count="1">
          <reference field="4294967294" count="1" selected="0">
            <x v="5"/>
          </reference>
        </references>
      </pivotArea>
    </format>
    <format dxfId="394">
      <pivotArea field="0" grandRow="1" outline="0" axis="axisRow" fieldPosition="0">
        <references count="1">
          <reference field="4294967294" count="1" selected="0">
            <x v="8"/>
          </reference>
        </references>
      </pivotArea>
    </format>
    <format dxfId="393">
      <pivotArea field="0" grandRow="1" outline="0" axis="axisRow" fieldPosition="0">
        <references count="1">
          <reference field="4294967294" count="1" selected="0">
            <x v="11"/>
          </reference>
        </references>
      </pivotArea>
    </format>
    <format dxfId="392">
      <pivotArea field="0" grandRow="1" outline="0" axis="axisRow" fieldPosition="0">
        <references count="1">
          <reference field="4294967294" count="1" selected="0">
            <x v="14"/>
          </reference>
        </references>
      </pivotArea>
    </format>
    <format dxfId="391">
      <pivotArea field="0" grandRow="1" outline="0" axis="axisRow" fieldPosition="0">
        <references count="1">
          <reference field="4294967294" count="1" selected="0">
            <x v="17"/>
          </reference>
        </references>
      </pivotArea>
    </format>
    <format dxfId="390">
      <pivotArea field="0" grandRow="1" outline="0" axis="axisRow" fieldPosition="0">
        <references count="1">
          <reference field="4294967294" count="1" selected="0">
            <x v="20"/>
          </reference>
        </references>
      </pivotArea>
    </format>
    <format dxfId="389">
      <pivotArea field="0" grandRow="1" outline="0" axis="axisRow" fieldPosition="0">
        <references count="1">
          <reference field="4294967294" count="1" selected="0">
            <x v="23"/>
          </reference>
        </references>
      </pivotArea>
    </format>
    <format dxfId="388">
      <pivotArea field="0" grandRow="1" outline="0" axis="axisRow" fieldPosition="0">
        <references count="1">
          <reference field="4294967294" count="1" selected="0">
            <x v="26"/>
          </reference>
        </references>
      </pivotArea>
    </format>
    <format dxfId="387">
      <pivotArea field="0" grandRow="1" outline="0" axis="axisRow" fieldPosition="0">
        <references count="1">
          <reference field="4294967294" count="1" selected="0">
            <x v="29"/>
          </reference>
        </references>
      </pivotArea>
    </format>
    <format dxfId="386">
      <pivotArea field="0" grandRow="1" outline="0" axis="axisRow" fieldPosition="0">
        <references count="1">
          <reference field="4294967294" count="1" selected="0">
            <x v="32"/>
          </reference>
        </references>
      </pivotArea>
    </format>
    <format dxfId="385">
      <pivotArea field="0" grandRow="1" outline="0" axis="axisRow" fieldPosition="0">
        <references count="1">
          <reference field="4294967294" count="1" selected="0">
            <x v="35"/>
          </reference>
        </references>
      </pivotArea>
    </format>
    <format dxfId="384">
      <pivotArea field="0" dataOnly="0" labelOnly="1" grandRow="1" outline="0" axis="axisRow" fieldPosition="0">
        <references count="1">
          <reference field="4294967294" count="1" selected="0">
            <x v="0"/>
          </reference>
        </references>
      </pivotArea>
    </format>
    <format dxfId="383">
      <pivotArea field="0" dataOnly="0" labelOnly="1" grandRow="1" outline="0" axis="axisRow" fieldPosition="0">
        <references count="1">
          <reference field="4294967294" count="1" selected="0">
            <x v="1"/>
          </reference>
        </references>
      </pivotArea>
    </format>
    <format dxfId="382">
      <pivotArea field="0" dataOnly="0" labelOnly="1" grandRow="1" outline="0" axis="axisRow" fieldPosition="0">
        <references count="1">
          <reference field="4294967294" count="1" selected="0">
            <x v="2"/>
          </reference>
        </references>
      </pivotArea>
    </format>
    <format dxfId="381">
      <pivotArea field="0" dataOnly="0" labelOnly="1" grandRow="1" outline="0" axis="axisRow" fieldPosition="0">
        <references count="1">
          <reference field="4294967294" count="1" selected="0">
            <x v="3"/>
          </reference>
        </references>
      </pivotArea>
    </format>
    <format dxfId="380">
      <pivotArea field="0" dataOnly="0" labelOnly="1" grandRow="1" outline="0" axis="axisRow" fieldPosition="0">
        <references count="1">
          <reference field="4294967294" count="1" selected="0">
            <x v="4"/>
          </reference>
        </references>
      </pivotArea>
    </format>
    <format dxfId="379">
      <pivotArea field="0" dataOnly="0" labelOnly="1" grandRow="1" outline="0" axis="axisRow" fieldPosition="0">
        <references count="1">
          <reference field="4294967294" count="1" selected="0">
            <x v="5"/>
          </reference>
        </references>
      </pivotArea>
    </format>
    <format dxfId="378">
      <pivotArea field="0" dataOnly="0" labelOnly="1" grandRow="1" outline="0" axis="axisRow" fieldPosition="0">
        <references count="1">
          <reference field="4294967294" count="1" selected="0">
            <x v="6"/>
          </reference>
        </references>
      </pivotArea>
    </format>
    <format dxfId="377">
      <pivotArea field="0" dataOnly="0" labelOnly="1" grandRow="1" outline="0" axis="axisRow" fieldPosition="0">
        <references count="1">
          <reference field="4294967294" count="1" selected="0">
            <x v="7"/>
          </reference>
        </references>
      </pivotArea>
    </format>
    <format dxfId="376">
      <pivotArea field="0" dataOnly="0" labelOnly="1" grandRow="1" outline="0" axis="axisRow" fieldPosition="0">
        <references count="1">
          <reference field="4294967294" count="1" selected="0">
            <x v="8"/>
          </reference>
        </references>
      </pivotArea>
    </format>
    <format dxfId="375">
      <pivotArea field="0" dataOnly="0" labelOnly="1" grandRow="1" outline="0" axis="axisRow" fieldPosition="0">
        <references count="1">
          <reference field="4294967294" count="1" selected="0">
            <x v="9"/>
          </reference>
        </references>
      </pivotArea>
    </format>
    <format dxfId="374">
      <pivotArea field="0" dataOnly="0" labelOnly="1" grandRow="1" outline="0" axis="axisRow" fieldPosition="0">
        <references count="1">
          <reference field="4294967294" count="1" selected="0">
            <x v="10"/>
          </reference>
        </references>
      </pivotArea>
    </format>
    <format dxfId="373">
      <pivotArea field="0" dataOnly="0" labelOnly="1" grandRow="1" outline="0" axis="axisRow" fieldPosition="0">
        <references count="1">
          <reference field="4294967294" count="1" selected="0">
            <x v="11"/>
          </reference>
        </references>
      </pivotArea>
    </format>
    <format dxfId="372">
      <pivotArea field="0" dataOnly="0" labelOnly="1" grandRow="1" outline="0" axis="axisRow" fieldPosition="0">
        <references count="1">
          <reference field="4294967294" count="1" selected="0">
            <x v="12"/>
          </reference>
        </references>
      </pivotArea>
    </format>
    <format dxfId="371">
      <pivotArea field="0" dataOnly="0" labelOnly="1" grandRow="1" outline="0" axis="axisRow" fieldPosition="0">
        <references count="1">
          <reference field="4294967294" count="1" selected="0">
            <x v="13"/>
          </reference>
        </references>
      </pivotArea>
    </format>
    <format dxfId="370">
      <pivotArea field="0" dataOnly="0" labelOnly="1" grandRow="1" outline="0" axis="axisRow" fieldPosition="0">
        <references count="1">
          <reference field="4294967294" count="1" selected="0">
            <x v="14"/>
          </reference>
        </references>
      </pivotArea>
    </format>
    <format dxfId="369">
      <pivotArea field="0" dataOnly="0" labelOnly="1" grandRow="1" outline="0" axis="axisRow" fieldPosition="0">
        <references count="1">
          <reference field="4294967294" count="1" selected="0">
            <x v="15"/>
          </reference>
        </references>
      </pivotArea>
    </format>
    <format dxfId="368">
      <pivotArea field="0" dataOnly="0" labelOnly="1" grandRow="1" outline="0" axis="axisRow" fieldPosition="0">
        <references count="1">
          <reference field="4294967294" count="1" selected="0">
            <x v="16"/>
          </reference>
        </references>
      </pivotArea>
    </format>
    <format dxfId="367">
      <pivotArea field="0" dataOnly="0" labelOnly="1" grandRow="1" outline="0" axis="axisRow" fieldPosition="0">
        <references count="1">
          <reference field="4294967294" count="1" selected="0">
            <x v="17"/>
          </reference>
        </references>
      </pivotArea>
    </format>
    <format dxfId="366">
      <pivotArea field="0" dataOnly="0" labelOnly="1" grandRow="1" outline="0" axis="axisRow" fieldPosition="0">
        <references count="1">
          <reference field="4294967294" count="1" selected="0">
            <x v="18"/>
          </reference>
        </references>
      </pivotArea>
    </format>
    <format dxfId="365">
      <pivotArea field="0" dataOnly="0" labelOnly="1" grandRow="1" outline="0" axis="axisRow" fieldPosition="0">
        <references count="1">
          <reference field="4294967294" count="1" selected="0">
            <x v="19"/>
          </reference>
        </references>
      </pivotArea>
    </format>
    <format dxfId="364">
      <pivotArea field="0" dataOnly="0" labelOnly="1" grandRow="1" outline="0" axis="axisRow" fieldPosition="0">
        <references count="1">
          <reference field="4294967294" count="1" selected="0">
            <x v="20"/>
          </reference>
        </references>
      </pivotArea>
    </format>
    <format dxfId="363">
      <pivotArea field="0" dataOnly="0" labelOnly="1" grandRow="1" outline="0" axis="axisRow" fieldPosition="0">
        <references count="1">
          <reference field="4294967294" count="1" selected="0">
            <x v="21"/>
          </reference>
        </references>
      </pivotArea>
    </format>
    <format dxfId="362">
      <pivotArea field="0" dataOnly="0" labelOnly="1" grandRow="1" outline="0" axis="axisRow" fieldPosition="0">
        <references count="1">
          <reference field="4294967294" count="1" selected="0">
            <x v="22"/>
          </reference>
        </references>
      </pivotArea>
    </format>
    <format dxfId="361">
      <pivotArea field="0" dataOnly="0" labelOnly="1" grandRow="1" outline="0" axis="axisRow" fieldPosition="0">
        <references count="1">
          <reference field="4294967294" count="1" selected="0">
            <x v="23"/>
          </reference>
        </references>
      </pivotArea>
    </format>
    <format dxfId="360">
      <pivotArea field="0" dataOnly="0" labelOnly="1" grandRow="1" outline="0" axis="axisRow" fieldPosition="0">
        <references count="1">
          <reference field="4294967294" count="1" selected="0">
            <x v="24"/>
          </reference>
        </references>
      </pivotArea>
    </format>
    <format dxfId="359">
      <pivotArea field="0" dataOnly="0" labelOnly="1" grandRow="1" outline="0" axis="axisRow" fieldPosition="0">
        <references count="1">
          <reference field="4294967294" count="1" selected="0">
            <x v="25"/>
          </reference>
        </references>
      </pivotArea>
    </format>
    <format dxfId="358">
      <pivotArea field="0" dataOnly="0" labelOnly="1" grandRow="1" outline="0" axis="axisRow" fieldPosition="0">
        <references count="1">
          <reference field="4294967294" count="1" selected="0">
            <x v="26"/>
          </reference>
        </references>
      </pivotArea>
    </format>
    <format dxfId="357">
      <pivotArea field="0" dataOnly="0" labelOnly="1" grandRow="1" outline="0" axis="axisRow" fieldPosition="0">
        <references count="1">
          <reference field="4294967294" count="1" selected="0">
            <x v="27"/>
          </reference>
        </references>
      </pivotArea>
    </format>
    <format dxfId="356">
      <pivotArea field="0" dataOnly="0" labelOnly="1" grandRow="1" outline="0" axis="axisRow" fieldPosition="0">
        <references count="1">
          <reference field="4294967294" count="1" selected="0">
            <x v="28"/>
          </reference>
        </references>
      </pivotArea>
    </format>
    <format dxfId="355">
      <pivotArea field="0" dataOnly="0" labelOnly="1" grandRow="1" outline="0" axis="axisRow" fieldPosition="0">
        <references count="1">
          <reference field="4294967294" count="1" selected="0">
            <x v="29"/>
          </reference>
        </references>
      </pivotArea>
    </format>
    <format dxfId="354">
      <pivotArea field="0" dataOnly="0" labelOnly="1" grandRow="1" outline="0" axis="axisRow" fieldPosition="0">
        <references count="1">
          <reference field="4294967294" count="1" selected="0">
            <x v="30"/>
          </reference>
        </references>
      </pivotArea>
    </format>
    <format dxfId="353">
      <pivotArea field="0" dataOnly="0" labelOnly="1" grandRow="1" outline="0" axis="axisRow" fieldPosition="0">
        <references count="1">
          <reference field="4294967294" count="1" selected="0">
            <x v="31"/>
          </reference>
        </references>
      </pivotArea>
    </format>
    <format dxfId="352">
      <pivotArea field="0" dataOnly="0" labelOnly="1" grandRow="1" outline="0" axis="axisRow" fieldPosition="0">
        <references count="1">
          <reference field="4294967294" count="1" selected="0">
            <x v="32"/>
          </reference>
        </references>
      </pivotArea>
    </format>
    <format dxfId="351">
      <pivotArea field="0" dataOnly="0" labelOnly="1" grandRow="1" outline="0" axis="axisRow" fieldPosition="0">
        <references count="1">
          <reference field="4294967294" count="1" selected="0">
            <x v="33"/>
          </reference>
        </references>
      </pivotArea>
    </format>
    <format dxfId="350">
      <pivotArea field="0" dataOnly="0" labelOnly="1" grandRow="1" outline="0" axis="axisRow" fieldPosition="0">
        <references count="1">
          <reference field="4294967294" count="1" selected="0">
            <x v="34"/>
          </reference>
        </references>
      </pivotArea>
    </format>
    <format dxfId="349">
      <pivotArea field="0" dataOnly="0" labelOnly="1" grandRow="1" outline="0" axis="axisRow" fieldPosition="0">
        <references count="1">
          <reference field="4294967294" count="1" selected="0">
            <x v="35"/>
          </reference>
        </references>
      </pivotArea>
    </format>
    <format dxfId="348">
      <pivotArea outline="0" fieldPosition="0">
        <references count="2">
          <reference field="4294967294" count="1" selected="0">
            <x v="26"/>
          </reference>
          <reference field="0" count="1" selected="0">
            <x v="1"/>
          </reference>
        </references>
      </pivotArea>
    </format>
    <format dxfId="347">
      <pivotArea outline="0" fieldPosition="0">
        <references count="2">
          <reference field="4294967294" count="1" selected="0">
            <x v="29"/>
          </reference>
          <reference field="0" count="1" selected="0">
            <x v="1"/>
          </reference>
        </references>
      </pivotArea>
    </format>
    <format dxfId="346">
      <pivotArea outline="0" fieldPosition="0">
        <references count="2">
          <reference field="4294967294" count="1" selected="0">
            <x v="32"/>
          </reference>
          <reference field="0" count="1" selected="0">
            <x v="1"/>
          </reference>
        </references>
      </pivotArea>
    </format>
    <format dxfId="345">
      <pivotArea outline="0" fieldPosition="0">
        <references count="2">
          <reference field="4294967294" count="1" selected="0">
            <x v="35"/>
          </reference>
          <reference field="0" count="1" selected="0">
            <x v="1"/>
          </reference>
        </references>
      </pivotArea>
    </format>
    <format dxfId="344">
      <pivotArea outline="0" fieldPosition="0">
        <references count="2">
          <reference field="4294967294" count="1" selected="0">
            <x v="2"/>
          </reference>
          <reference field="0" count="1" selected="0">
            <x v="2"/>
          </reference>
        </references>
      </pivotArea>
    </format>
    <format dxfId="343">
      <pivotArea outline="0" fieldPosition="0">
        <references count="2">
          <reference field="4294967294" count="1" selected="0">
            <x v="8"/>
          </reference>
          <reference field="0" count="1" selected="0">
            <x v="2"/>
          </reference>
        </references>
      </pivotArea>
    </format>
    <format dxfId="342">
      <pivotArea outline="0" fieldPosition="0">
        <references count="2">
          <reference field="4294967294" count="1" selected="0">
            <x v="11"/>
          </reference>
          <reference field="0" count="1" selected="0">
            <x v="2"/>
          </reference>
        </references>
      </pivotArea>
    </format>
    <format dxfId="341">
      <pivotArea outline="0" fieldPosition="0">
        <references count="2">
          <reference field="4294967294" count="1" selected="0">
            <x v="14"/>
          </reference>
          <reference field="0" count="1" selected="0">
            <x v="2"/>
          </reference>
        </references>
      </pivotArea>
    </format>
    <format dxfId="340">
      <pivotArea outline="0" fieldPosition="0">
        <references count="2">
          <reference field="4294967294" count="1" selected="0">
            <x v="17"/>
          </reference>
          <reference field="0" count="1" selected="0">
            <x v="2"/>
          </reference>
        </references>
      </pivotArea>
    </format>
    <format dxfId="339">
      <pivotArea outline="0" fieldPosition="0">
        <references count="2">
          <reference field="4294967294" count="1" selected="0">
            <x v="20"/>
          </reference>
          <reference field="0" count="1" selected="0">
            <x v="2"/>
          </reference>
        </references>
      </pivotArea>
    </format>
    <format dxfId="338">
      <pivotArea outline="0" fieldPosition="0">
        <references count="2">
          <reference field="4294967294" count="1" selected="0">
            <x v="23"/>
          </reference>
          <reference field="0" count="1" selected="0">
            <x v="2"/>
          </reference>
        </references>
      </pivotArea>
    </format>
    <format dxfId="337">
      <pivotArea outline="0" fieldPosition="0">
        <references count="2">
          <reference field="4294967294" count="1" selected="0">
            <x v="26"/>
          </reference>
          <reference field="0" count="1" selected="0">
            <x v="2"/>
          </reference>
        </references>
      </pivotArea>
    </format>
    <format dxfId="336">
      <pivotArea outline="0" fieldPosition="0">
        <references count="2">
          <reference field="4294967294" count="1" selected="0">
            <x v="29"/>
          </reference>
          <reference field="0" count="1" selected="0">
            <x v="2"/>
          </reference>
        </references>
      </pivotArea>
    </format>
    <format dxfId="335">
      <pivotArea outline="0" fieldPosition="0">
        <references count="2">
          <reference field="4294967294" count="1" selected="0">
            <x v="32"/>
          </reference>
          <reference field="0" count="1" selected="0">
            <x v="2"/>
          </reference>
        </references>
      </pivotArea>
    </format>
    <format dxfId="334">
      <pivotArea outline="0" fieldPosition="0">
        <references count="2">
          <reference field="4294967294" count="1" selected="0">
            <x v="35"/>
          </reference>
          <reference field="0" count="1" selected="0">
            <x v="2"/>
          </reference>
        </references>
      </pivotArea>
    </format>
    <format dxfId="333">
      <pivotArea outline="0" fieldPosition="0">
        <references count="4">
          <reference field="4294967294" count="1" selected="0">
            <x v="2"/>
          </reference>
          <reference field="0" count="1" selected="0">
            <x v="0"/>
          </reference>
          <reference field="3" count="1" selected="0">
            <x v="9"/>
          </reference>
          <reference field="32" count="1" selected="0">
            <x v="1"/>
          </reference>
        </references>
      </pivotArea>
    </format>
    <format dxfId="332">
      <pivotArea outline="0" fieldPosition="0">
        <references count="4">
          <reference field="4294967294" count="1" selected="0">
            <x v="5"/>
          </reference>
          <reference field="0" count="1" selected="0">
            <x v="0"/>
          </reference>
          <reference field="3" count="1" selected="0">
            <x v="9"/>
          </reference>
          <reference field="32" count="1" selected="0">
            <x v="1"/>
          </reference>
        </references>
      </pivotArea>
    </format>
    <format dxfId="331">
      <pivotArea outline="0" fieldPosition="0">
        <references count="4">
          <reference field="4294967294" count="1" selected="0">
            <x v="8"/>
          </reference>
          <reference field="0" count="1" selected="0">
            <x v="0"/>
          </reference>
          <reference field="3" count="1" selected="0">
            <x v="9"/>
          </reference>
          <reference field="32" count="1" selected="0">
            <x v="1"/>
          </reference>
        </references>
      </pivotArea>
    </format>
    <format dxfId="330">
      <pivotArea outline="0" fieldPosition="0">
        <references count="2">
          <reference field="4294967294" count="1" selected="0">
            <x v="5"/>
          </reference>
          <reference field="0" count="1" selected="0">
            <x v="2"/>
          </reference>
        </references>
      </pivotArea>
    </format>
    <format dxfId="329">
      <pivotArea dataOnly="0" outline="0" fieldPosition="0">
        <references count="1">
          <reference field="4294967294" count="1">
            <x v="2"/>
          </reference>
        </references>
      </pivotArea>
    </format>
    <format dxfId="328">
      <pivotArea dataOnly="0" labelOnly="1" outline="0" fieldPosition="0">
        <references count="2">
          <reference field="4294967294" count="1">
            <x v="5"/>
          </reference>
          <reference field="0" count="1" selected="0">
            <x v="2"/>
          </reference>
        </references>
      </pivotArea>
    </format>
    <format dxfId="327">
      <pivotArea dataOnly="0" labelOnly="1" outline="0" fieldPosition="0">
        <references count="2">
          <reference field="4294967294" count="1">
            <x v="8"/>
          </reference>
          <reference field="0" count="1" selected="0">
            <x v="2"/>
          </reference>
        </references>
      </pivotArea>
    </format>
    <format dxfId="326">
      <pivotArea dataOnly="0" labelOnly="1" outline="0" fieldPosition="0">
        <references count="2">
          <reference field="4294967294" count="1">
            <x v="11"/>
          </reference>
          <reference field="0" count="1" selected="0">
            <x v="2"/>
          </reference>
        </references>
      </pivotArea>
    </format>
    <format dxfId="325">
      <pivotArea dataOnly="0" labelOnly="1" outline="0" fieldPosition="0">
        <references count="2">
          <reference field="4294967294" count="1">
            <x v="14"/>
          </reference>
          <reference field="0" count="1" selected="0">
            <x v="2"/>
          </reference>
        </references>
      </pivotArea>
    </format>
    <format dxfId="324">
      <pivotArea dataOnly="0" labelOnly="1" outline="0" fieldPosition="0">
        <references count="2">
          <reference field="4294967294" count="1">
            <x v="17"/>
          </reference>
          <reference field="0" count="1" selected="0">
            <x v="2"/>
          </reference>
        </references>
      </pivotArea>
    </format>
    <format dxfId="323">
      <pivotArea dataOnly="0" labelOnly="1" outline="0" fieldPosition="0">
        <references count="2">
          <reference field="4294967294" count="1">
            <x v="20"/>
          </reference>
          <reference field="0" count="1" selected="0">
            <x v="2"/>
          </reference>
        </references>
      </pivotArea>
    </format>
    <format dxfId="322">
      <pivotArea dataOnly="0" labelOnly="1" outline="0" fieldPosition="0">
        <references count="2">
          <reference field="4294967294" count="1">
            <x v="23"/>
          </reference>
          <reference field="0" count="1" selected="0">
            <x v="2"/>
          </reference>
        </references>
      </pivotArea>
    </format>
    <format dxfId="321">
      <pivotArea dataOnly="0" labelOnly="1" outline="0" fieldPosition="0">
        <references count="2">
          <reference field="4294967294" count="1">
            <x v="26"/>
          </reference>
          <reference field="0" count="1" selected="0">
            <x v="2"/>
          </reference>
        </references>
      </pivotArea>
    </format>
    <format dxfId="320">
      <pivotArea dataOnly="0" labelOnly="1" outline="0" fieldPosition="0">
        <references count="2">
          <reference field="4294967294" count="1">
            <x v="29"/>
          </reference>
          <reference field="0" count="1" selected="0">
            <x v="2"/>
          </reference>
        </references>
      </pivotArea>
    </format>
    <format dxfId="319">
      <pivotArea dataOnly="0" labelOnly="1" outline="0" fieldPosition="0">
        <references count="2">
          <reference field="4294967294" count="1">
            <x v="32"/>
          </reference>
          <reference field="0" count="1" selected="0">
            <x v="2"/>
          </reference>
        </references>
      </pivotArea>
    </format>
    <format dxfId="318">
      <pivotArea dataOnly="0" labelOnly="1" outline="0" fieldPosition="0">
        <references count="2">
          <reference field="4294967294" count="1">
            <x v="35"/>
          </reference>
          <reference field="0" count="1" selected="0">
            <x v="2"/>
          </reference>
        </references>
      </pivotArea>
    </format>
    <format dxfId="317">
      <pivotArea outline="0" fieldPosition="0">
        <references count="4">
          <reference field="4294967294" count="3" selected="0">
            <x v="18"/>
            <x v="19"/>
            <x v="20"/>
          </reference>
          <reference field="0" count="1" selected="0">
            <x v="0"/>
          </reference>
          <reference field="3" count="1" selected="0">
            <x v="3"/>
          </reference>
          <reference field="32" count="1" selected="0">
            <x v="0"/>
          </reference>
        </references>
      </pivotArea>
    </format>
    <format dxfId="316">
      <pivotArea outline="0" fieldPosition="0">
        <references count="4">
          <reference field="4294967294" count="3" selected="0">
            <x v="24"/>
            <x v="25"/>
            <x v="26"/>
          </reference>
          <reference field="0" count="1" selected="0">
            <x v="0"/>
          </reference>
          <reference field="3" count="2" selected="0">
            <x v="3"/>
            <x v="4"/>
          </reference>
          <reference field="32" count="1" selected="0">
            <x v="0"/>
          </reference>
        </references>
      </pivotArea>
    </format>
    <format dxfId="315">
      <pivotArea outline="0" fieldPosition="0">
        <references count="3">
          <reference field="4294967294" count="1" selected="0">
            <x v="2"/>
          </reference>
          <reference field="0" count="1" selected="0">
            <x v="4"/>
          </reference>
          <reference field="32" count="1" selected="0" defaultSubtotal="1">
            <x v="2"/>
          </reference>
        </references>
      </pivotArea>
    </format>
    <format dxfId="314">
      <pivotArea outline="0" fieldPosition="0">
        <references count="4">
          <reference field="4294967294" count="3" selected="0">
            <x v="0"/>
            <x v="1"/>
            <x v="2"/>
          </reference>
          <reference field="0" count="1" selected="0">
            <x v="5"/>
          </reference>
          <reference field="3" count="1" selected="0">
            <x v="1"/>
          </reference>
          <reference field="32" count="1" selected="0">
            <x v="0"/>
          </reference>
        </references>
      </pivotArea>
    </format>
    <format dxfId="313">
      <pivotArea outline="0" fieldPosition="0">
        <references count="4">
          <reference field="4294967294" count="3" selected="0">
            <x v="6"/>
            <x v="7"/>
            <x v="8"/>
          </reference>
          <reference field="0" count="1" selected="0">
            <x v="5"/>
          </reference>
          <reference field="3" count="1" selected="0">
            <x v="1"/>
          </reference>
          <reference field="32" count="1" selected="0">
            <x v="0"/>
          </reference>
        </references>
      </pivotArea>
    </format>
    <format dxfId="312">
      <pivotArea outline="0" fieldPosition="0">
        <references count="4">
          <reference field="4294967294" count="3" selected="0">
            <x v="0"/>
            <x v="1"/>
            <x v="2"/>
          </reference>
          <reference field="0" count="1" selected="0">
            <x v="5"/>
          </reference>
          <reference field="3" count="1" selected="0">
            <x v="1"/>
          </reference>
          <reference field="32" count="1" selected="0">
            <x v="0"/>
          </reference>
        </references>
      </pivotArea>
    </format>
    <format dxfId="311">
      <pivotArea outline="0" fieldPosition="0">
        <references count="4">
          <reference field="4294967294" count="3" selected="0">
            <x v="6"/>
            <x v="7"/>
            <x v="8"/>
          </reference>
          <reference field="0" count="1" selected="0">
            <x v="5"/>
          </reference>
          <reference field="3" count="1" selected="0">
            <x v="1"/>
          </reference>
          <reference field="32" count="1" selected="0">
            <x v="0"/>
          </reference>
        </references>
      </pivotArea>
    </format>
    <format dxfId="310">
      <pivotArea outline="0" fieldPosition="0">
        <references count="4">
          <reference field="4294967294" count="3" selected="0">
            <x v="3"/>
            <x v="4"/>
            <x v="5"/>
          </reference>
          <reference field="0" count="1" selected="0">
            <x v="7"/>
          </reference>
          <reference field="3" count="1" selected="0">
            <x v="12"/>
          </reference>
          <reference field="32" count="1" selected="0">
            <x v="0"/>
          </reference>
        </references>
      </pivotArea>
    </format>
    <format dxfId="309">
      <pivotArea outline="0" fieldPosition="0">
        <references count="4">
          <reference field="4294967294" count="3" selected="0">
            <x v="6"/>
            <x v="7"/>
            <x v="8"/>
          </reference>
          <reference field="0" count="1" selected="0">
            <x v="7"/>
          </reference>
          <reference field="3" count="1" selected="0">
            <x v="12"/>
          </reference>
          <reference field="32" count="1" selected="0">
            <x v="0"/>
          </reference>
        </references>
      </pivotArea>
    </format>
    <format dxfId="308">
      <pivotArea outline="0" fieldPosition="0">
        <references count="4">
          <reference field="4294967294" count="1" selected="0">
            <x v="20"/>
          </reference>
          <reference field="0" count="1" selected="0">
            <x v="0"/>
          </reference>
          <reference field="3" count="2" selected="0">
            <x v="3"/>
            <x v="4"/>
          </reference>
          <reference field="32" count="1" selected="0">
            <x v="0"/>
          </reference>
        </references>
      </pivotArea>
    </format>
    <format dxfId="307">
      <pivotArea outline="0" fieldPosition="0">
        <references count="4">
          <reference field="4294967294" count="1" selected="0">
            <x v="26"/>
          </reference>
          <reference field="0" count="1" selected="0">
            <x v="0"/>
          </reference>
          <reference field="3" count="2" selected="0">
            <x v="3"/>
            <x v="4"/>
          </reference>
          <reference field="32" count="1" selected="0">
            <x v="0"/>
          </reference>
        </references>
      </pivotArea>
    </format>
    <format dxfId="306">
      <pivotArea outline="0" fieldPosition="0">
        <references count="4">
          <reference field="4294967294" count="2" selected="0">
            <x v="18"/>
            <x v="19"/>
          </reference>
          <reference field="0" count="1" selected="0">
            <x v="0"/>
          </reference>
          <reference field="3" count="2" selected="0">
            <x v="3"/>
            <x v="4"/>
          </reference>
          <reference field="32" count="1" selected="0">
            <x v="0"/>
          </reference>
        </references>
      </pivotArea>
    </format>
    <format dxfId="305">
      <pivotArea outline="0" fieldPosition="0">
        <references count="4">
          <reference field="4294967294" count="2" selected="0">
            <x v="24"/>
            <x v="25"/>
          </reference>
          <reference field="0" count="1" selected="0">
            <x v="0"/>
          </reference>
          <reference field="3" count="2" selected="0">
            <x v="3"/>
            <x v="4"/>
          </reference>
          <reference field="32" count="1" selected="0">
            <x v="0"/>
          </reference>
        </references>
      </pivotArea>
    </format>
    <format dxfId="304">
      <pivotArea outline="0" fieldPosition="0">
        <references count="2">
          <reference field="4294967294" count="12" selected="0">
            <x v="0"/>
            <x v="1"/>
            <x v="2"/>
            <x v="3"/>
            <x v="4"/>
            <x v="5"/>
            <x v="6"/>
            <x v="7"/>
            <x v="8"/>
            <x v="9"/>
            <x v="10"/>
            <x v="11"/>
          </reference>
          <reference field="0" count="1" selected="0">
            <x v="0"/>
          </reference>
        </references>
      </pivotArea>
    </format>
    <format dxfId="303">
      <pivotArea outline="0" fieldPosition="0">
        <references count="2">
          <reference field="4294967294" count="24" selected="0">
            <x v="12"/>
            <x v="13"/>
            <x v="14"/>
            <x v="15"/>
            <x v="16"/>
            <x v="17"/>
            <x v="18"/>
            <x v="19"/>
            <x v="20"/>
            <x v="21"/>
            <x v="22"/>
            <x v="23"/>
            <x v="24"/>
            <x v="25"/>
            <x v="26"/>
            <x v="27"/>
            <x v="28"/>
            <x v="29"/>
            <x v="30"/>
            <x v="31"/>
            <x v="32"/>
            <x v="33"/>
            <x v="34"/>
            <x v="35"/>
          </reference>
          <reference field="0" count="1" selected="0">
            <x v="0"/>
          </reference>
        </references>
      </pivotArea>
    </format>
    <format dxfId="302">
      <pivotArea outline="0" fieldPosition="0">
        <references count="2">
          <reference field="4294967294" count="26" selected="0">
            <x v="0"/>
            <x v="1"/>
            <x v="2"/>
            <x v="3"/>
            <x v="4"/>
            <x v="5"/>
            <x v="6"/>
            <x v="7"/>
            <x v="8"/>
            <x v="9"/>
            <x v="10"/>
            <x v="11"/>
            <x v="12"/>
            <x v="13"/>
            <x v="14"/>
            <x v="15"/>
            <x v="16"/>
            <x v="17"/>
            <x v="18"/>
            <x v="19"/>
            <x v="20"/>
            <x v="21"/>
            <x v="22"/>
            <x v="23"/>
            <x v="24"/>
            <x v="25"/>
          </reference>
          <reference field="0" count="1" selected="0">
            <x v="1"/>
          </reference>
        </references>
      </pivotArea>
    </format>
    <format dxfId="301">
      <pivotArea outline="0" fieldPosition="0">
        <references count="4">
          <reference field="4294967294" count="1" selected="0">
            <x v="2"/>
          </reference>
          <reference field="0" count="1" selected="0">
            <x v="0"/>
          </reference>
          <reference field="3" count="5" selected="0">
            <x v="2"/>
            <x v="3"/>
            <x v="4"/>
            <x v="5"/>
            <x v="12"/>
          </reference>
          <reference field="32" count="1" selected="0">
            <x v="0"/>
          </reference>
        </references>
      </pivotArea>
    </format>
    <format dxfId="300">
      <pivotArea outline="0" fieldPosition="0">
        <references count="3">
          <reference field="4294967294" count="1" selected="0">
            <x v="2"/>
          </reference>
          <reference field="0" count="1" selected="0">
            <x v="0"/>
          </reference>
          <reference field="32" count="1" selected="0" defaultSubtotal="1">
            <x v="0"/>
          </reference>
        </references>
      </pivotArea>
    </format>
    <format dxfId="299">
      <pivotArea outline="0" fieldPosition="0">
        <references count="3">
          <reference field="4294967294" count="1" selected="0">
            <x v="2"/>
          </reference>
          <reference field="0" count="1" selected="0">
            <x v="0"/>
          </reference>
          <reference field="32" count="2" selected="0" defaultSubtotal="1">
            <x v="1"/>
            <x v="2"/>
          </reference>
        </references>
      </pivotArea>
    </format>
    <format dxfId="298">
      <pivotArea outline="0" fieldPosition="0">
        <references count="4">
          <reference field="4294967294" count="1" selected="0">
            <x v="2"/>
          </reference>
          <reference field="0" count="1" selected="0">
            <x v="0"/>
          </reference>
          <reference field="3" count="3" selected="0">
            <x v="7"/>
            <x v="8"/>
            <x v="9"/>
          </reference>
          <reference field="32" count="1" selected="0">
            <x v="1"/>
          </reference>
        </references>
      </pivotArea>
    </format>
    <format dxfId="297">
      <pivotArea outline="0" fieldPosition="0">
        <references count="4">
          <reference field="4294967294" count="1" selected="0">
            <x v="2"/>
          </reference>
          <reference field="0" count="1" selected="0">
            <x v="0"/>
          </reference>
          <reference field="3" count="2" selected="0">
            <x v="11"/>
            <x v="14"/>
          </reference>
          <reference field="32" count="1" selected="0">
            <x v="2"/>
          </reference>
        </references>
      </pivotArea>
    </format>
    <format dxfId="296">
      <pivotArea field="32" grandRow="1" outline="0" axis="axisCol" fieldPosition="0">
        <references count="3">
          <reference field="4294967294" count="1" selected="0">
            <x v="26"/>
          </reference>
          <reference field="3" count="1" selected="0">
            <x v="1"/>
          </reference>
          <reference field="32" count="1" selected="0">
            <x v="0"/>
          </reference>
        </references>
      </pivotArea>
    </format>
    <format dxfId="295">
      <pivotArea outline="0" fieldPosition="0">
        <references count="2">
          <reference field="3" count="6" selected="0">
            <x v="1"/>
            <x v="2"/>
            <x v="3"/>
            <x v="4"/>
            <x v="5"/>
            <x v="12"/>
          </reference>
          <reference field="32" count="1" selected="0">
            <x v="0"/>
          </reference>
        </references>
      </pivotArea>
    </format>
    <format dxfId="294">
      <pivotArea field="3" type="button" dataOnly="0" labelOnly="1" outline="0" axis="axisCol" fieldPosition="1"/>
    </format>
    <format dxfId="293">
      <pivotArea type="topRight" dataOnly="0" labelOnly="1" outline="0" fieldPosition="0"/>
    </format>
    <format dxfId="292">
      <pivotArea dataOnly="0" labelOnly="1" outline="0" offset="B256:IV256" fieldPosition="0">
        <references count="1">
          <reference field="32" count="1">
            <x v="0"/>
          </reference>
        </references>
      </pivotArea>
    </format>
    <format dxfId="291">
      <pivotArea dataOnly="0" labelOnly="1" outline="0" fieldPosition="0">
        <references count="2">
          <reference field="3" count="6">
            <x v="1"/>
            <x v="2"/>
            <x v="3"/>
            <x v="4"/>
            <x v="5"/>
            <x v="12"/>
          </reference>
          <reference field="32" count="1" selected="0">
            <x v="0"/>
          </reference>
        </references>
      </pivotArea>
    </format>
    <format dxfId="290">
      <pivotArea outline="0" fieldPosition="0">
        <references count="1">
          <reference field="32" count="1" selected="0" defaultSubtotal="1">
            <x v="0"/>
          </reference>
        </references>
      </pivotArea>
    </format>
    <format dxfId="289">
      <pivotArea dataOnly="0" labelOnly="1" outline="0" fieldPosition="0">
        <references count="1">
          <reference field="32" count="1" defaultSubtotal="1">
            <x v="0"/>
          </reference>
        </references>
      </pivotArea>
    </format>
    <format dxfId="288">
      <pivotArea outline="0" fieldPosition="0">
        <references count="4">
          <reference field="4294967294" count="3" selected="0">
            <x v="18"/>
            <x v="19"/>
            <x v="20"/>
          </reference>
          <reference field="0" count="1" selected="0">
            <x v="0"/>
          </reference>
          <reference field="3" count="1" selected="0">
            <x v="4"/>
          </reference>
          <reference field="32" count="1" selected="0">
            <x v="0"/>
          </reference>
        </references>
      </pivotArea>
    </format>
    <format dxfId="287">
      <pivotArea outline="0" fieldPosition="0">
        <references count="4">
          <reference field="4294967294" count="3" selected="0">
            <x v="24"/>
            <x v="25"/>
            <x v="26"/>
          </reference>
          <reference field="0" count="1" selected="0">
            <x v="0"/>
          </reference>
          <reference field="3" count="1" selected="0">
            <x v="4"/>
          </reference>
          <reference field="32" count="1" selected="0">
            <x v="0"/>
          </reference>
        </references>
      </pivotArea>
    </format>
    <format dxfId="286">
      <pivotArea outline="0" fieldPosition="0">
        <references count="3">
          <reference field="4294967294" count="31" selected="0">
            <x v="0"/>
            <x v="1"/>
            <x v="2"/>
            <x v="3"/>
            <x v="4"/>
            <x v="5"/>
            <x v="6"/>
            <x v="7"/>
            <x v="8"/>
            <x v="9"/>
            <x v="10"/>
            <x v="11"/>
            <x v="12"/>
            <x v="13"/>
            <x v="14"/>
            <x v="15"/>
            <x v="16"/>
            <x v="17"/>
            <x v="18"/>
            <x v="19"/>
            <x v="20"/>
            <x v="21"/>
            <x v="22"/>
            <x v="23"/>
            <x v="24"/>
            <x v="25"/>
            <x v="26"/>
            <x v="27"/>
            <x v="28"/>
            <x v="29"/>
            <x v="30"/>
          </reference>
          <reference field="0" count="1" selected="0">
            <x v="0"/>
          </reference>
          <reference field="32" count="2" selected="0" defaultSubtotal="1">
            <x v="0"/>
            <x v="1"/>
          </reference>
        </references>
      </pivotArea>
    </format>
    <format dxfId="285">
      <pivotArea outline="0" fieldPosition="0">
        <references count="4">
          <reference field="4294967294" count="31" selected="0">
            <x v="0"/>
            <x v="1"/>
            <x v="2"/>
            <x v="3"/>
            <x v="4"/>
            <x v="5"/>
            <x v="6"/>
            <x v="7"/>
            <x v="8"/>
            <x v="9"/>
            <x v="10"/>
            <x v="11"/>
            <x v="12"/>
            <x v="13"/>
            <x v="14"/>
            <x v="15"/>
            <x v="16"/>
            <x v="17"/>
            <x v="18"/>
            <x v="19"/>
            <x v="20"/>
            <x v="21"/>
            <x v="22"/>
            <x v="23"/>
            <x v="24"/>
            <x v="25"/>
            <x v="26"/>
            <x v="27"/>
            <x v="28"/>
            <x v="29"/>
            <x v="30"/>
          </reference>
          <reference field="0" count="1" selected="0">
            <x v="0"/>
          </reference>
          <reference field="3" count="2" selected="0">
            <x v="10"/>
            <x v="11"/>
          </reference>
          <reference field="32" count="1" selected="0">
            <x v="2"/>
          </reference>
        </references>
      </pivotArea>
    </format>
    <format dxfId="284">
      <pivotArea outline="0" fieldPosition="0">
        <references count="2">
          <reference field="4294967294" count="1" selected="0">
            <x v="5"/>
          </reference>
          <reference field="0" count="1" selected="0">
            <x v="0"/>
          </reference>
        </references>
      </pivotArea>
    </format>
    <format dxfId="283">
      <pivotArea outline="0" fieldPosition="0">
        <references count="2">
          <reference field="4294967294" count="1" selected="0">
            <x v="8"/>
          </reference>
          <reference field="0" count="1" selected="0">
            <x v="0"/>
          </reference>
        </references>
      </pivotArea>
    </format>
    <format dxfId="282">
      <pivotArea outline="0" fieldPosition="0">
        <references count="2">
          <reference field="4294967294" count="1" selected="0">
            <x v="11"/>
          </reference>
          <reference field="0" count="1" selected="0">
            <x v="0"/>
          </reference>
        </references>
      </pivotArea>
    </format>
    <format dxfId="281">
      <pivotArea outline="0" fieldPosition="0">
        <references count="2">
          <reference field="4294967294" count="1" selected="0">
            <x v="14"/>
          </reference>
          <reference field="0" count="1" selected="0">
            <x v="0"/>
          </reference>
        </references>
      </pivotArea>
    </format>
    <format dxfId="280">
      <pivotArea outline="0" fieldPosition="0">
        <references count="2">
          <reference field="4294967294" count="1" selected="0">
            <x v="17"/>
          </reference>
          <reference field="0" count="1" selected="0">
            <x v="0"/>
          </reference>
        </references>
      </pivotArea>
    </format>
    <format dxfId="279">
      <pivotArea outline="0" fieldPosition="0">
        <references count="2">
          <reference field="4294967294" count="1" selected="0">
            <x v="20"/>
          </reference>
          <reference field="0" count="1" selected="0">
            <x v="0"/>
          </reference>
        </references>
      </pivotArea>
    </format>
    <format dxfId="278">
      <pivotArea outline="0" fieldPosition="0">
        <references count="2">
          <reference field="4294967294" count="1" selected="0">
            <x v="23"/>
          </reference>
          <reference field="0" count="1" selected="0">
            <x v="0"/>
          </reference>
        </references>
      </pivotArea>
    </format>
    <format dxfId="277">
      <pivotArea outline="0" fieldPosition="0">
        <references count="2">
          <reference field="4294967294" count="1" selected="0">
            <x v="26"/>
          </reference>
          <reference field="0" count="1" selected="0">
            <x v="0"/>
          </reference>
        </references>
      </pivotArea>
    </format>
    <format dxfId="276">
      <pivotArea outline="0" fieldPosition="0">
        <references count="2">
          <reference field="4294967294" count="1" selected="0">
            <x v="29"/>
          </reference>
          <reference field="0" count="1" selected="0">
            <x v="0"/>
          </reference>
        </references>
      </pivotArea>
    </format>
    <format dxfId="275">
      <pivotArea outline="0" fieldPosition="0">
        <references count="2">
          <reference field="4294967294" count="1" selected="0">
            <x v="32"/>
          </reference>
          <reference field="0" count="1" selected="0">
            <x v="0"/>
          </reference>
        </references>
      </pivotArea>
    </format>
    <format dxfId="274">
      <pivotArea outline="0" fieldPosition="0">
        <references count="2">
          <reference field="4294967294" count="1" selected="0">
            <x v="35"/>
          </reference>
          <reference field="0" count="1" selected="0">
            <x v="0"/>
          </reference>
        </references>
      </pivotArea>
    </format>
    <format dxfId="273">
      <pivotArea outline="0" fieldPosition="0">
        <references count="4">
          <reference field="4294967294" count="2" selected="0">
            <x v="6"/>
            <x v="7"/>
          </reference>
          <reference field="0" count="1" selected="0">
            <x v="8"/>
          </reference>
          <reference field="3" count="3" selected="0">
            <x v="7"/>
            <x v="8"/>
            <x v="9"/>
          </reference>
          <reference field="32" count="1" selected="0">
            <x v="1"/>
          </reference>
        </references>
      </pivotArea>
    </format>
    <format dxfId="272">
      <pivotArea outline="0" fieldPosition="0">
        <references count="3">
          <reference field="4294967294" count="2" selected="0">
            <x v="6"/>
            <x v="7"/>
          </reference>
          <reference field="0" count="1" selected="0">
            <x v="8"/>
          </reference>
          <reference field="32" count="1" selected="0" defaultSubtotal="1">
            <x v="1"/>
          </reference>
        </references>
      </pivotArea>
    </format>
    <format dxfId="271">
      <pivotArea outline="0" fieldPosition="0">
        <references count="4">
          <reference field="4294967294" count="3" selected="0">
            <x v="0"/>
            <x v="1"/>
            <x v="2"/>
          </reference>
          <reference field="0" count="1" selected="0">
            <x v="0"/>
          </reference>
          <reference field="3" count="1" selected="0">
            <x v="7"/>
          </reference>
          <reference field="32" count="1" selected="0">
            <x v="1"/>
          </reference>
        </references>
      </pivotArea>
    </format>
    <format dxfId="270">
      <pivotArea outline="0" fieldPosition="0">
        <references count="4">
          <reference field="4294967294" count="3" selected="0">
            <x v="6"/>
            <x v="7"/>
            <x v="8"/>
          </reference>
          <reference field="0" count="1" selected="0">
            <x v="0"/>
          </reference>
          <reference field="3" count="1" selected="0">
            <x v="5"/>
          </reference>
          <reference field="32" count="1" selected="0">
            <x v="0"/>
          </reference>
        </references>
      </pivotArea>
    </format>
    <format dxfId="269">
      <pivotArea outline="0" fieldPosition="0">
        <references count="4">
          <reference field="4294967294" count="1" selected="0">
            <x v="8"/>
          </reference>
          <reference field="0" count="1" selected="0">
            <x v="8"/>
          </reference>
          <reference field="3" count="3" selected="0">
            <x v="7"/>
            <x v="8"/>
            <x v="9"/>
          </reference>
          <reference field="32" count="1" selected="0">
            <x v="1"/>
          </reference>
        </references>
      </pivotArea>
    </format>
    <format dxfId="268">
      <pivotArea outline="0" fieldPosition="0">
        <references count="3">
          <reference field="4294967294" count="1" selected="0">
            <x v="8"/>
          </reference>
          <reference field="0" count="1" selected="0">
            <x v="8"/>
          </reference>
          <reference field="32" count="1" selected="0" defaultSubtotal="1">
            <x v="1"/>
          </reference>
        </references>
      </pivotArea>
    </format>
    <format dxfId="267">
      <pivotArea outline="0" fieldPosition="0">
        <references count="4">
          <reference field="4294967294" count="1" selected="0">
            <x v="1"/>
          </reference>
          <reference field="0" count="1" selected="0">
            <x v="8"/>
          </reference>
          <reference field="3" count="3" selected="0">
            <x v="7"/>
            <x v="8"/>
            <x v="9"/>
          </reference>
          <reference field="32" count="1" selected="0">
            <x v="1"/>
          </reference>
        </references>
      </pivotArea>
    </format>
    <format dxfId="266">
      <pivotArea outline="0" fieldPosition="0">
        <references count="3">
          <reference field="4294967294" count="1" selected="0">
            <x v="1"/>
          </reference>
          <reference field="0" count="1" selected="0">
            <x v="8"/>
          </reference>
          <reference field="32" count="1" selected="0" defaultSubtotal="1">
            <x v="1"/>
          </reference>
        </references>
      </pivotArea>
    </format>
    <format dxfId="265">
      <pivotArea outline="0" fieldPosition="0">
        <references count="4">
          <reference field="4294967294" count="1" selected="0">
            <x v="7"/>
          </reference>
          <reference field="0" count="1" selected="0">
            <x v="8"/>
          </reference>
          <reference field="3" count="3" selected="0">
            <x v="7"/>
            <x v="8"/>
            <x v="9"/>
          </reference>
          <reference field="32" count="1" selected="0">
            <x v="1"/>
          </reference>
        </references>
      </pivotArea>
    </format>
    <format dxfId="264">
      <pivotArea outline="0" fieldPosition="0">
        <references count="3">
          <reference field="4294967294" count="1" selected="0">
            <x v="7"/>
          </reference>
          <reference field="0" count="1" selected="0">
            <x v="8"/>
          </reference>
          <reference field="32" count="1" selected="0" defaultSubtotal="1">
            <x v="1"/>
          </reference>
        </references>
      </pivotArea>
    </format>
    <format dxfId="263">
      <pivotArea outline="0" fieldPosition="0">
        <references count="4">
          <reference field="4294967294" count="1" selected="0">
            <x v="5"/>
          </reference>
          <reference field="0" count="1" selected="0">
            <x v="0"/>
          </reference>
          <reference field="3" count="1" selected="0">
            <x v="0"/>
          </reference>
          <reference field="32" count="1" selected="0">
            <x v="0"/>
          </reference>
        </references>
      </pivotArea>
    </format>
    <format dxfId="262">
      <pivotArea outline="0" fieldPosition="0">
        <references count="4">
          <reference field="4294967294" count="1" selected="0">
            <x v="8"/>
          </reference>
          <reference field="0" count="1" selected="0">
            <x v="0"/>
          </reference>
          <reference field="3" count="1" selected="0">
            <x v="0"/>
          </reference>
          <reference field="32" count="1" selected="0">
            <x v="0"/>
          </reference>
        </references>
      </pivotArea>
    </format>
    <format dxfId="261">
      <pivotArea outline="0" fieldPosition="0">
        <references count="4">
          <reference field="4294967294" count="1" selected="0">
            <x v="11"/>
          </reference>
          <reference field="0" count="1" selected="0">
            <x v="0"/>
          </reference>
          <reference field="3" count="1" selected="0">
            <x v="0"/>
          </reference>
          <reference field="32" count="1" selected="0">
            <x v="0"/>
          </reference>
        </references>
      </pivotArea>
    </format>
    <format dxfId="260">
      <pivotArea outline="0" fieldPosition="0">
        <references count="4">
          <reference field="4294967294" count="1" selected="0">
            <x v="14"/>
          </reference>
          <reference field="0" count="1" selected="0">
            <x v="0"/>
          </reference>
          <reference field="3" count="1" selected="0">
            <x v="0"/>
          </reference>
          <reference field="32" count="1" selected="0">
            <x v="0"/>
          </reference>
        </references>
      </pivotArea>
    </format>
    <format dxfId="259">
      <pivotArea outline="0" fieldPosition="0">
        <references count="4">
          <reference field="4294967294" count="1" selected="0">
            <x v="17"/>
          </reference>
          <reference field="0" count="1" selected="0">
            <x v="0"/>
          </reference>
          <reference field="3" count="1" selected="0">
            <x v="0"/>
          </reference>
          <reference field="32" count="1" selected="0">
            <x v="0"/>
          </reference>
        </references>
      </pivotArea>
    </format>
    <format dxfId="258">
      <pivotArea outline="0" fieldPosition="0">
        <references count="4">
          <reference field="4294967294" count="1" selected="0">
            <x v="20"/>
          </reference>
          <reference field="0" count="1" selected="0">
            <x v="0"/>
          </reference>
          <reference field="3" count="1" selected="0">
            <x v="0"/>
          </reference>
          <reference field="32" count="1" selected="0">
            <x v="0"/>
          </reference>
        </references>
      </pivotArea>
    </format>
    <format dxfId="257">
      <pivotArea outline="0" fieldPosition="0">
        <references count="4">
          <reference field="4294967294" count="1" selected="0">
            <x v="23"/>
          </reference>
          <reference field="0" count="1" selected="0">
            <x v="0"/>
          </reference>
          <reference field="3" count="1" selected="0">
            <x v="0"/>
          </reference>
          <reference field="32" count="1" selected="0">
            <x v="0"/>
          </reference>
        </references>
      </pivotArea>
    </format>
    <format dxfId="256">
      <pivotArea outline="0" fieldPosition="0">
        <references count="4">
          <reference field="4294967294" count="1" selected="0">
            <x v="26"/>
          </reference>
          <reference field="0" count="1" selected="0">
            <x v="0"/>
          </reference>
          <reference field="3" count="1" selected="0">
            <x v="0"/>
          </reference>
          <reference field="32" count="1" selected="0">
            <x v="0"/>
          </reference>
        </references>
      </pivotArea>
    </format>
    <format dxfId="255">
      <pivotArea outline="0" fieldPosition="0">
        <references count="4">
          <reference field="4294967294" count="1" selected="0">
            <x v="29"/>
          </reference>
          <reference field="0" count="1" selected="0">
            <x v="0"/>
          </reference>
          <reference field="3" count="1" selected="0">
            <x v="0"/>
          </reference>
          <reference field="32" count="1" selected="0">
            <x v="0"/>
          </reference>
        </references>
      </pivotArea>
    </format>
    <format dxfId="254">
      <pivotArea outline="0" fieldPosition="0">
        <references count="4">
          <reference field="4294967294" count="1" selected="0">
            <x v="32"/>
          </reference>
          <reference field="0" count="1" selected="0">
            <x v="0"/>
          </reference>
          <reference field="3" count="1" selected="0">
            <x v="0"/>
          </reference>
          <reference field="32" count="1" selected="0">
            <x v="0"/>
          </reference>
        </references>
      </pivotArea>
    </format>
    <format dxfId="253">
      <pivotArea outline="0" fieldPosition="0">
        <references count="4">
          <reference field="4294967294" count="1" selected="0">
            <x v="35"/>
          </reference>
          <reference field="0" count="1" selected="0">
            <x v="0"/>
          </reference>
          <reference field="3" count="1" selected="0">
            <x v="0"/>
          </reference>
          <reference field="32" count="1" selected="0">
            <x v="0"/>
          </reference>
        </references>
      </pivotArea>
    </format>
    <format dxfId="252">
      <pivotArea outline="0" fieldPosition="0">
        <references count="4">
          <reference field="4294967294" count="1" selected="0">
            <x v="0"/>
          </reference>
          <reference field="0" count="1" selected="0">
            <x v="1"/>
          </reference>
          <reference field="3" count="1" selected="0">
            <x v="0"/>
          </reference>
          <reference field="32" count="1" selected="0">
            <x v="0"/>
          </reference>
        </references>
      </pivotArea>
    </format>
    <format dxfId="251">
      <pivotArea outline="0" fieldPosition="0">
        <references count="4">
          <reference field="4294967294" count="1" selected="0">
            <x v="0"/>
          </reference>
          <reference field="0" count="1" selected="0">
            <x v="2"/>
          </reference>
          <reference field="3" count="1" selected="0">
            <x v="0"/>
          </reference>
          <reference field="32" count="1" selected="0">
            <x v="0"/>
          </reference>
        </references>
      </pivotArea>
    </format>
    <format dxfId="250">
      <pivotArea outline="0" fieldPosition="0">
        <references count="4">
          <reference field="4294967294" count="1" selected="0">
            <x v="0"/>
          </reference>
          <reference field="0" count="1" selected="0">
            <x v="3"/>
          </reference>
          <reference field="3" count="1" selected="0">
            <x v="0"/>
          </reference>
          <reference field="32" count="1" selected="0">
            <x v="0"/>
          </reference>
        </references>
      </pivotArea>
    </format>
    <format dxfId="249">
      <pivotArea outline="0" fieldPosition="0">
        <references count="4">
          <reference field="4294967294" count="1" selected="0">
            <x v="0"/>
          </reference>
          <reference field="0" count="1" selected="0">
            <x v="4"/>
          </reference>
          <reference field="3" count="1" selected="0">
            <x v="0"/>
          </reference>
          <reference field="32" count="1" selected="0">
            <x v="0"/>
          </reference>
        </references>
      </pivotArea>
    </format>
    <format dxfId="248">
      <pivotArea outline="0" fieldPosition="0">
        <references count="4">
          <reference field="4294967294" count="1" selected="0">
            <x v="0"/>
          </reference>
          <reference field="0" count="1" selected="0">
            <x v="5"/>
          </reference>
          <reference field="3" count="1" selected="0">
            <x v="0"/>
          </reference>
          <reference field="32" count="1" selected="0">
            <x v="0"/>
          </reference>
        </references>
      </pivotArea>
    </format>
    <format dxfId="247">
      <pivotArea outline="0" fieldPosition="0">
        <references count="4">
          <reference field="4294967294" count="1" selected="0">
            <x v="0"/>
          </reference>
          <reference field="0" count="1" selected="0">
            <x v="6"/>
          </reference>
          <reference field="3" count="1" selected="0">
            <x v="0"/>
          </reference>
          <reference field="32" count="1" selected="0">
            <x v="0"/>
          </reference>
        </references>
      </pivotArea>
    </format>
    <format dxfId="246">
      <pivotArea outline="0" fieldPosition="0">
        <references count="4">
          <reference field="4294967294" count="1" selected="0">
            <x v="0"/>
          </reference>
          <reference field="0" count="1" selected="0">
            <x v="7"/>
          </reference>
          <reference field="3" count="1" selected="0">
            <x v="0"/>
          </reference>
          <reference field="32" count="1" selected="0">
            <x v="0"/>
          </reference>
        </references>
      </pivotArea>
    </format>
    <format dxfId="245">
      <pivotArea outline="0" fieldPosition="0">
        <references count="4">
          <reference field="4294967294" count="1" selected="0">
            <x v="0"/>
          </reference>
          <reference field="0" count="1" selected="0">
            <x v="8"/>
          </reference>
          <reference field="3" count="1" selected="0">
            <x v="0"/>
          </reference>
          <reference field="32" count="1" selected="0">
            <x v="0"/>
          </reference>
        </references>
      </pivotArea>
    </format>
    <format dxfId="244">
      <pivotArea outline="0" fieldPosition="0">
        <references count="4">
          <reference field="4294967294" count="1" selected="0">
            <x v="0"/>
          </reference>
          <reference field="0" count="1" selected="0">
            <x v="9"/>
          </reference>
          <reference field="3" count="1" selected="0">
            <x v="0"/>
          </reference>
          <reference field="32" count="1" selected="0">
            <x v="0"/>
          </reference>
        </references>
      </pivotArea>
    </format>
    <format dxfId="243">
      <pivotArea outline="0" fieldPosition="0">
        <references count="4">
          <reference field="4294967294" count="1" selected="0">
            <x v="0"/>
          </reference>
          <reference field="0" count="1" selected="0">
            <x v="10"/>
          </reference>
          <reference field="3" count="1" selected="0">
            <x v="0"/>
          </reference>
          <reference field="32" count="1" selected="0">
            <x v="0"/>
          </reference>
        </references>
      </pivotArea>
    </format>
    <format dxfId="242">
      <pivotArea outline="0" fieldPosition="0">
        <references count="4">
          <reference field="4294967294" count="1" selected="0">
            <x v="0"/>
          </reference>
          <reference field="0" count="1" selected="0">
            <x v="11"/>
          </reference>
          <reference field="3" count="1" selected="0">
            <x v="0"/>
          </reference>
          <reference field="32" count="1" selected="0">
            <x v="0"/>
          </reference>
        </references>
      </pivotArea>
    </format>
    <format dxfId="241">
      <pivotArea outline="0" fieldPosition="0">
        <references count="4">
          <reference field="4294967294" count="1" selected="0">
            <x v="0"/>
          </reference>
          <reference field="0" count="1" selected="0">
            <x v="12"/>
          </reference>
          <reference field="3" count="1" selected="0">
            <x v="0"/>
          </reference>
          <reference field="32" count="1" selected="0">
            <x v="0"/>
          </reference>
        </references>
      </pivotArea>
    </format>
    <format dxfId="240">
      <pivotArea outline="0" fieldPosition="0">
        <references count="4">
          <reference field="4294967294" count="1" selected="0">
            <x v="0"/>
          </reference>
          <reference field="0" count="1" selected="0">
            <x v="13"/>
          </reference>
          <reference field="3" count="1" selected="0">
            <x v="0"/>
          </reference>
          <reference field="32" count="1" selected="0">
            <x v="0"/>
          </reference>
        </references>
      </pivotArea>
    </format>
    <format dxfId="239">
      <pivotArea outline="0" fieldPosition="0">
        <references count="4">
          <reference field="4294967294" count="1" selected="0">
            <x v="0"/>
          </reference>
          <reference field="0" count="1" selected="0">
            <x v="14"/>
          </reference>
          <reference field="3" count="1" selected="0">
            <x v="0"/>
          </reference>
          <reference field="32" count="1" selected="0">
            <x v="0"/>
          </reference>
        </references>
      </pivotArea>
    </format>
    <format dxfId="238">
      <pivotArea outline="0" fieldPosition="0">
        <references count="4">
          <reference field="4294967294" count="1" selected="0">
            <x v="0"/>
          </reference>
          <reference field="0" count="1" selected="0">
            <x v="15"/>
          </reference>
          <reference field="3" count="1" selected="0">
            <x v="0"/>
          </reference>
          <reference field="32" count="1" selected="0">
            <x v="0"/>
          </reference>
        </references>
      </pivotArea>
    </format>
    <format dxfId="237">
      <pivotArea outline="0" fieldPosition="0">
        <references count="4">
          <reference field="4294967294" count="1" selected="0">
            <x v="1"/>
          </reference>
          <reference field="0" count="1" selected="0">
            <x v="6"/>
          </reference>
          <reference field="3" count="1" selected="0">
            <x v="14"/>
          </reference>
          <reference field="32" count="1" selected="0">
            <x v="2"/>
          </reference>
        </references>
      </pivotArea>
    </format>
    <format dxfId="236">
      <pivotArea outline="0" fieldPosition="0">
        <references count="4">
          <reference field="4294967294" count="1" selected="0">
            <x v="25"/>
          </reference>
          <reference field="0" count="1" selected="0">
            <x v="7"/>
          </reference>
          <reference field="3" count="1" selected="0">
            <x v="12"/>
          </reference>
          <reference field="32" count="1" selected="0">
            <x v="0"/>
          </reference>
        </references>
      </pivotArea>
    </format>
    <format dxfId="235">
      <pivotArea outline="0" fieldPosition="0">
        <references count="4">
          <reference field="4294967294" count="1" selected="0">
            <x v="25"/>
          </reference>
          <reference field="0" count="1" selected="0">
            <x v="11"/>
          </reference>
          <reference field="3" count="1" selected="0">
            <x v="6"/>
          </reference>
          <reference field="32" count="1" selected="0">
            <x v="1"/>
          </reference>
        </references>
      </pivotArea>
    </format>
    <format dxfId="234">
      <pivotArea outline="0" fieldPosition="0">
        <references count="4">
          <reference field="4294967294" count="1" selected="0">
            <x v="25"/>
          </reference>
          <reference field="0" count="1" selected="0">
            <x v="15"/>
          </reference>
          <reference field="3" count="1" selected="0">
            <x v="8"/>
          </reference>
          <reference field="32" count="1" selected="0">
            <x v="1"/>
          </reference>
        </references>
      </pivotArea>
    </format>
    <format dxfId="233">
      <pivotArea outline="0" fieldPosition="0">
        <references count="2">
          <reference field="4294967294" count="36" selected="0">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232">
      <pivotArea outline="0" fieldPosition="0">
        <references count="4">
          <reference field="4294967294" count="2" selected="0">
            <x v="6"/>
            <x v="7"/>
          </reference>
          <reference field="0" count="1" selected="0">
            <x v="0"/>
          </reference>
          <reference field="3" count="1" selected="0">
            <x v="5"/>
          </reference>
          <reference field="32" count="1" selected="0">
            <x v="0"/>
          </reference>
        </references>
      </pivotArea>
    </format>
    <format dxfId="231">
      <pivotArea outline="0" fieldPosition="0">
        <references count="4">
          <reference field="4294967294" count="2" selected="0">
            <x v="6"/>
            <x v="7"/>
          </reference>
          <reference field="0" count="1" selected="0">
            <x v="0"/>
          </reference>
          <reference field="3" count="1" selected="0">
            <x v="9"/>
          </reference>
          <reference field="32" count="1" selected="0">
            <x v="1"/>
          </reference>
        </references>
      </pivotArea>
    </format>
    <format dxfId="230">
      <pivotArea outline="0" fieldPosition="0">
        <references count="4">
          <reference field="4294967294" count="2" selected="0">
            <x v="18"/>
            <x v="19"/>
          </reference>
          <reference field="0" count="1" selected="0">
            <x v="0"/>
          </reference>
          <reference field="3" count="2" selected="0">
            <x v="3"/>
            <x v="4"/>
          </reference>
          <reference field="32" count="1" selected="0">
            <x v="0"/>
          </reference>
        </references>
      </pivotArea>
    </format>
    <format dxfId="229">
      <pivotArea outline="0" fieldPosition="0">
        <references count="4">
          <reference field="4294967294" count="2" selected="0">
            <x v="24"/>
            <x v="25"/>
          </reference>
          <reference field="0" count="1" selected="0">
            <x v="0"/>
          </reference>
          <reference field="3" count="5" selected="0">
            <x v="0"/>
            <x v="1"/>
            <x v="2"/>
            <x v="3"/>
            <x v="4"/>
          </reference>
          <reference field="32" count="1" selected="0">
            <x v="0"/>
          </reference>
        </references>
      </pivotArea>
    </format>
    <format dxfId="228">
      <pivotArea outline="0" fieldPosition="0">
        <references count="4">
          <reference field="4294967294" count="1" selected="0">
            <x v="0"/>
          </reference>
          <reference field="0" count="1" selected="0">
            <x v="2"/>
          </reference>
          <reference field="3" count="1" selected="0">
            <x v="0"/>
          </reference>
          <reference field="32" count="1" selected="0">
            <x v="0"/>
          </reference>
        </references>
      </pivotArea>
    </format>
    <format dxfId="227">
      <pivotArea outline="0" fieldPosition="0">
        <references count="4">
          <reference field="4294967294" count="1" selected="0">
            <x v="0"/>
          </reference>
          <reference field="0" count="1" selected="0">
            <x v="3"/>
          </reference>
          <reference field="3" count="1" selected="0">
            <x v="0"/>
          </reference>
          <reference field="32" count="1" selected="0">
            <x v="0"/>
          </reference>
        </references>
      </pivotArea>
    </format>
    <format dxfId="226">
      <pivotArea outline="0" fieldPosition="0">
        <references count="4">
          <reference field="4294967294" count="1" selected="0">
            <x v="0"/>
          </reference>
          <reference field="0" count="1" selected="0">
            <x v="4"/>
          </reference>
          <reference field="3" count="1" selected="0">
            <x v="0"/>
          </reference>
          <reference field="32" count="1" selected="0">
            <x v="0"/>
          </reference>
        </references>
      </pivotArea>
    </format>
    <format dxfId="225">
      <pivotArea outline="0" fieldPosition="0">
        <references count="2">
          <reference field="4294967294" count="2" selected="0">
            <x v="0"/>
            <x v="1"/>
          </reference>
          <reference field="0" count="1" selected="0">
            <x v="0"/>
          </reference>
        </references>
      </pivotArea>
    </format>
    <format dxfId="224">
      <pivotArea outline="0" fieldPosition="0">
        <references count="2">
          <reference field="4294967294" count="2" selected="0">
            <x v="3"/>
            <x v="4"/>
          </reference>
          <reference field="0" count="1" selected="0">
            <x v="0"/>
          </reference>
        </references>
      </pivotArea>
    </format>
    <format dxfId="223">
      <pivotArea outline="0" fieldPosition="0">
        <references count="2">
          <reference field="4294967294" count="2" selected="0">
            <x v="6"/>
            <x v="7"/>
          </reference>
          <reference field="0" count="1" selected="0">
            <x v="0"/>
          </reference>
        </references>
      </pivotArea>
    </format>
    <format dxfId="222">
      <pivotArea outline="0" fieldPosition="0">
        <references count="2">
          <reference field="4294967294" count="2" selected="0">
            <x v="9"/>
            <x v="10"/>
          </reference>
          <reference field="0" count="1" selected="0">
            <x v="0"/>
          </reference>
        </references>
      </pivotArea>
    </format>
    <format dxfId="221">
      <pivotArea outline="0" fieldPosition="0">
        <references count="2">
          <reference field="4294967294" count="2" selected="0">
            <x v="12"/>
            <x v="13"/>
          </reference>
          <reference field="0" count="1" selected="0">
            <x v="0"/>
          </reference>
        </references>
      </pivotArea>
    </format>
    <format dxfId="220">
      <pivotArea outline="0" fieldPosition="0">
        <references count="2">
          <reference field="4294967294" count="2" selected="0">
            <x v="15"/>
            <x v="16"/>
          </reference>
          <reference field="0" count="1" selected="0">
            <x v="0"/>
          </reference>
        </references>
      </pivotArea>
    </format>
    <format dxfId="219">
      <pivotArea outline="0" fieldPosition="0">
        <references count="2">
          <reference field="4294967294" count="2" selected="0">
            <x v="18"/>
            <x v="19"/>
          </reference>
          <reference field="0" count="1" selected="0">
            <x v="0"/>
          </reference>
        </references>
      </pivotArea>
    </format>
    <format dxfId="218">
      <pivotArea outline="0" fieldPosition="0">
        <references count="2">
          <reference field="4294967294" count="3" selected="0">
            <x v="21"/>
            <x v="22"/>
            <x v="23"/>
          </reference>
          <reference field="0" count="1" selected="0">
            <x v="0"/>
          </reference>
        </references>
      </pivotArea>
    </format>
    <format dxfId="217">
      <pivotArea outline="0" fieldPosition="0">
        <references count="2">
          <reference field="4294967294" count="1" selected="0">
            <x v="23"/>
          </reference>
          <reference field="0" count="1" selected="0">
            <x v="0"/>
          </reference>
        </references>
      </pivotArea>
    </format>
    <format dxfId="216">
      <pivotArea outline="0" fieldPosition="0">
        <references count="2">
          <reference field="4294967294" count="2" selected="0">
            <x v="24"/>
            <x v="25"/>
          </reference>
          <reference field="0" count="1" selected="0">
            <x v="0"/>
          </reference>
        </references>
      </pivotArea>
    </format>
    <format dxfId="215">
      <pivotArea outline="0" fieldPosition="0">
        <references count="2">
          <reference field="4294967294" count="2" selected="0">
            <x v="27"/>
            <x v="28"/>
          </reference>
          <reference field="0" count="1" selected="0">
            <x v="0"/>
          </reference>
        </references>
      </pivotArea>
    </format>
    <format dxfId="214">
      <pivotArea outline="0" fieldPosition="0">
        <references count="2">
          <reference field="4294967294" count="2" selected="0">
            <x v="30"/>
            <x v="31"/>
          </reference>
          <reference field="0" count="1" selected="0">
            <x v="0"/>
          </reference>
        </references>
      </pivotArea>
    </format>
    <format dxfId="213">
      <pivotArea outline="0" fieldPosition="0">
        <references count="2">
          <reference field="4294967294" count="2" selected="0">
            <x v="33"/>
            <x v="34"/>
          </reference>
          <reference field="0" count="1" selected="0">
            <x v="0"/>
          </reference>
        </references>
      </pivotArea>
    </format>
    <format dxfId="212">
      <pivotArea outline="0" fieldPosition="0">
        <references count="4">
          <reference field="4294967294" count="1" selected="0">
            <x v="9"/>
          </reference>
          <reference field="0" count="1" selected="0">
            <x v="0"/>
          </reference>
          <reference field="3" count="1" selected="0">
            <x v="0"/>
          </reference>
          <reference field="32" count="1" selected="0">
            <x v="0"/>
          </reference>
        </references>
      </pivotArea>
    </format>
    <format dxfId="211">
      <pivotArea outline="0" fieldPosition="0">
        <references count="2">
          <reference field="0" count="0" selected="0"/>
          <reference field="32" count="1" selected="0" defaultSubtotal="1">
            <x v="2"/>
          </reference>
        </references>
      </pivotArea>
    </format>
    <format dxfId="210">
      <pivotArea type="topRight" dataOnly="0" labelOnly="1" outline="0" offset="O1" fieldPosition="0"/>
    </format>
    <format dxfId="209">
      <pivotArea dataOnly="0" labelOnly="1" outline="0" fieldPosition="0">
        <references count="1">
          <reference field="32" count="1" defaultSubtotal="1">
            <x v="2"/>
          </reference>
        </references>
      </pivotArea>
    </format>
    <format dxfId="208">
      <pivotArea outline="0" fieldPosition="0">
        <references count="4">
          <reference field="4294967294" count="1" selected="0">
            <x v="0"/>
          </reference>
          <reference field="0" count="1" selected="0">
            <x v="9"/>
          </reference>
          <reference field="3" count="1" selected="0">
            <x v="1"/>
          </reference>
          <reference field="32" count="1" selected="0">
            <x v="0"/>
          </reference>
        </references>
      </pivotArea>
    </format>
    <format dxfId="207">
      <pivotArea outline="0" fieldPosition="0">
        <references count="2">
          <reference field="4294967294" count="1" selected="0">
            <x v="35"/>
          </reference>
          <reference field="0" count="1" selected="0">
            <x v="0"/>
          </reference>
        </references>
      </pivotArea>
    </format>
    <format dxfId="206">
      <pivotArea dataOnly="0" labelOnly="1" outline="0" offset="IV256" fieldPosition="0">
        <references count="1">
          <reference field="0" count="1">
            <x v="0"/>
          </reference>
        </references>
      </pivotArea>
    </format>
    <format dxfId="205">
      <pivotArea dataOnly="0" labelOnly="1" outline="0" fieldPosition="0">
        <references count="2">
          <reference field="4294967294" count="1">
            <x v="35"/>
          </reference>
          <reference field="0" count="1" selected="0">
            <x v="0"/>
          </reference>
        </references>
      </pivotArea>
    </format>
    <format dxfId="204">
      <pivotArea outline="0" fieldPosition="0">
        <references count="2">
          <reference field="4294967294" count="1" selected="0">
            <x v="35"/>
          </reference>
          <reference field="0" count="1" selected="0">
            <x v="1"/>
          </reference>
        </references>
      </pivotArea>
    </format>
    <format dxfId="203">
      <pivotArea dataOnly="0" labelOnly="1" outline="0" offset="IV256" fieldPosition="0">
        <references count="1">
          <reference field="0" count="1">
            <x v="1"/>
          </reference>
        </references>
      </pivotArea>
    </format>
    <format dxfId="202">
      <pivotArea dataOnly="0" labelOnly="1" outline="0" fieldPosition="0">
        <references count="2">
          <reference field="4294967294" count="1">
            <x v="35"/>
          </reference>
          <reference field="0" count="1" selected="0">
            <x v="1"/>
          </reference>
        </references>
      </pivotArea>
    </format>
    <format dxfId="201">
      <pivotArea outline="0" fieldPosition="0">
        <references count="2">
          <reference field="4294967294" count="1" selected="0">
            <x v="35"/>
          </reference>
          <reference field="0" count="1" selected="0">
            <x v="2"/>
          </reference>
        </references>
      </pivotArea>
    </format>
    <format dxfId="200">
      <pivotArea dataOnly="0" labelOnly="1" outline="0" offset="IV256" fieldPosition="0">
        <references count="1">
          <reference field="0" count="1">
            <x v="2"/>
          </reference>
        </references>
      </pivotArea>
    </format>
    <format dxfId="199">
      <pivotArea dataOnly="0" labelOnly="1" outline="0" fieldPosition="0">
        <references count="2">
          <reference field="4294967294" count="1">
            <x v="35"/>
          </reference>
          <reference field="0" count="1" selected="0">
            <x v="2"/>
          </reference>
        </references>
      </pivotArea>
    </format>
    <format dxfId="198">
      <pivotArea outline="0" fieldPosition="0">
        <references count="2">
          <reference field="4294967294" count="1" selected="0">
            <x v="35"/>
          </reference>
          <reference field="0" count="1" selected="0">
            <x v="3"/>
          </reference>
        </references>
      </pivotArea>
    </format>
    <format dxfId="197">
      <pivotArea dataOnly="0" labelOnly="1" outline="0" offset="IV256" fieldPosition="0">
        <references count="1">
          <reference field="0" count="1">
            <x v="3"/>
          </reference>
        </references>
      </pivotArea>
    </format>
    <format dxfId="196">
      <pivotArea dataOnly="0" labelOnly="1" outline="0" fieldPosition="0">
        <references count="2">
          <reference field="4294967294" count="1">
            <x v="35"/>
          </reference>
          <reference field="0" count="1" selected="0">
            <x v="3"/>
          </reference>
        </references>
      </pivotArea>
    </format>
    <format dxfId="195">
      <pivotArea outline="0" fieldPosition="0">
        <references count="2">
          <reference field="4294967294" count="1" selected="0">
            <x v="35"/>
          </reference>
          <reference field="0" count="1" selected="0">
            <x v="4"/>
          </reference>
        </references>
      </pivotArea>
    </format>
    <format dxfId="194">
      <pivotArea dataOnly="0" labelOnly="1" outline="0" offset="IV256" fieldPosition="0">
        <references count="1">
          <reference field="0" count="1">
            <x v="4"/>
          </reference>
        </references>
      </pivotArea>
    </format>
    <format dxfId="193">
      <pivotArea dataOnly="0" labelOnly="1" outline="0" fieldPosition="0">
        <references count="2">
          <reference field="4294967294" count="1">
            <x v="35"/>
          </reference>
          <reference field="0" count="1" selected="0">
            <x v="4"/>
          </reference>
        </references>
      </pivotArea>
    </format>
    <format dxfId="192">
      <pivotArea outline="0" fieldPosition="0">
        <references count="2">
          <reference field="4294967294" count="1" selected="0">
            <x v="35"/>
          </reference>
          <reference field="0" count="1" selected="0">
            <x v="5"/>
          </reference>
        </references>
      </pivotArea>
    </format>
    <format dxfId="191">
      <pivotArea dataOnly="0" labelOnly="1" outline="0" offset="IV256" fieldPosition="0">
        <references count="1">
          <reference field="0" count="1">
            <x v="5"/>
          </reference>
        </references>
      </pivotArea>
    </format>
    <format dxfId="190">
      <pivotArea dataOnly="0" labelOnly="1" outline="0" fieldPosition="0">
        <references count="2">
          <reference field="4294967294" count="1">
            <x v="35"/>
          </reference>
          <reference field="0" count="1" selected="0">
            <x v="5"/>
          </reference>
        </references>
      </pivotArea>
    </format>
    <format dxfId="189">
      <pivotArea type="origin" dataOnly="0" labelOnly="1" outline="0" offset="A2:B2" fieldPosition="0"/>
    </format>
    <format dxfId="188">
      <pivotArea dataOnly="0" labelOnly="1" outline="0" fieldPosition="0">
        <references count="1">
          <reference field="32" count="1">
            <x v="0"/>
          </reference>
        </references>
      </pivotArea>
    </format>
    <format dxfId="187">
      <pivotArea dataOnly="0" labelOnly="1" outline="0" offset="IV1" fieldPosition="0">
        <references count="1">
          <reference field="32" count="1" defaultSubtotal="1">
            <x v="0"/>
          </reference>
        </references>
      </pivotArea>
    </format>
    <format dxfId="186">
      <pivotArea dataOnly="0" labelOnly="1" outline="0" fieldPosition="0">
        <references count="1">
          <reference field="32" count="1">
            <x v="1"/>
          </reference>
        </references>
      </pivotArea>
    </format>
    <format dxfId="185">
      <pivotArea dataOnly="0" labelOnly="1" outline="0" offset="IV1" fieldPosition="0">
        <references count="1">
          <reference field="32" count="1" defaultSubtotal="1">
            <x v="1"/>
          </reference>
        </references>
      </pivotArea>
    </format>
    <format dxfId="184">
      <pivotArea dataOnly="0" labelOnly="1" outline="0" fieldPosition="0">
        <references count="1">
          <reference field="32" count="1">
            <x v="2"/>
          </reference>
        </references>
      </pivotArea>
    </format>
    <format dxfId="183">
      <pivotArea dataOnly="0" labelOnly="1" outline="0" offset="IV1" fieldPosition="0">
        <references count="1">
          <reference field="32" count="1" defaultSubtotal="1">
            <x v="2"/>
          </reference>
        </references>
      </pivotArea>
    </format>
    <format dxfId="182">
      <pivotArea outline="0" fieldPosition="0">
        <references count="2">
          <reference field="4294967294" count="1" selected="0">
            <x v="2"/>
          </reference>
          <reference field="0" count="1" selected="0">
            <x v="7"/>
          </reference>
        </references>
      </pivotArea>
    </format>
    <format dxfId="181">
      <pivotArea outline="0" fieldPosition="0">
        <references count="2">
          <reference field="4294967294" count="1" selected="0">
            <x v="5"/>
          </reference>
          <reference field="0" count="1" selected="0">
            <x v="7"/>
          </reference>
        </references>
      </pivotArea>
    </format>
    <format dxfId="180">
      <pivotArea outline="0" fieldPosition="0">
        <references count="2">
          <reference field="4294967294" count="1" selected="0">
            <x v="8"/>
          </reference>
          <reference field="0" count="1" selected="0">
            <x v="7"/>
          </reference>
        </references>
      </pivotArea>
    </format>
    <format dxfId="179">
      <pivotArea outline="0" fieldPosition="0">
        <references count="2">
          <reference field="4294967294" count="1" selected="0">
            <x v="11"/>
          </reference>
          <reference field="0" count="1" selected="0">
            <x v="7"/>
          </reference>
        </references>
      </pivotArea>
    </format>
    <format dxfId="178">
      <pivotArea outline="0" fieldPosition="0">
        <references count="2">
          <reference field="4294967294" count="1" selected="0">
            <x v="14"/>
          </reference>
          <reference field="0" count="1" selected="0">
            <x v="7"/>
          </reference>
        </references>
      </pivotArea>
    </format>
    <format dxfId="177">
      <pivotArea outline="0" fieldPosition="0">
        <references count="2">
          <reference field="4294967294" count="1" selected="0">
            <x v="17"/>
          </reference>
          <reference field="0" count="1" selected="0">
            <x v="7"/>
          </reference>
        </references>
      </pivotArea>
    </format>
    <format dxfId="176">
      <pivotArea outline="0" fieldPosition="0">
        <references count="2">
          <reference field="4294967294" count="1" selected="0">
            <x v="20"/>
          </reference>
          <reference field="0" count="1" selected="0">
            <x v="7"/>
          </reference>
        </references>
      </pivotArea>
    </format>
    <format dxfId="175">
      <pivotArea outline="0" fieldPosition="0">
        <references count="2">
          <reference field="4294967294" count="1" selected="0">
            <x v="23"/>
          </reference>
          <reference field="0" count="1" selected="0">
            <x v="7"/>
          </reference>
        </references>
      </pivotArea>
    </format>
    <format dxfId="174">
      <pivotArea outline="0" fieldPosition="0">
        <references count="2">
          <reference field="4294967294" count="1" selected="0">
            <x v="26"/>
          </reference>
          <reference field="0" count="1" selected="0">
            <x v="7"/>
          </reference>
        </references>
      </pivotArea>
    </format>
    <format dxfId="173">
      <pivotArea outline="0" fieldPosition="0">
        <references count="2">
          <reference field="4294967294" count="1" selected="0">
            <x v="29"/>
          </reference>
          <reference field="0" count="1" selected="0">
            <x v="7"/>
          </reference>
        </references>
      </pivotArea>
    </format>
    <format dxfId="172">
      <pivotArea outline="0" fieldPosition="0">
        <references count="2">
          <reference field="4294967294" count="1" selected="0">
            <x v="32"/>
          </reference>
          <reference field="0" count="1" selected="0">
            <x v="7"/>
          </reference>
        </references>
      </pivotArea>
    </format>
    <format dxfId="171">
      <pivotArea outline="0" fieldPosition="0">
        <references count="2">
          <reference field="4294967294" count="1" selected="0">
            <x v="35"/>
          </reference>
          <reference field="0" count="1" selected="0">
            <x v="7"/>
          </reference>
        </references>
      </pivotArea>
    </format>
    <format dxfId="170">
      <pivotArea dataOnly="0" labelOnly="1" outline="0" fieldPosition="0">
        <references count="2">
          <reference field="4294967294" count="1">
            <x v="35"/>
          </reference>
          <reference field="0" count="1" selected="0">
            <x v="7"/>
          </reference>
        </references>
      </pivotArea>
    </format>
    <format dxfId="169">
      <pivotArea outline="0" fieldPosition="0">
        <references count="2">
          <reference field="4294967294" count="1" selected="0">
            <x v="2"/>
          </reference>
          <reference field="0" count="1" selected="0">
            <x v="1"/>
          </reference>
        </references>
      </pivotArea>
    </format>
    <format dxfId="168">
      <pivotArea outline="0" fieldPosition="0">
        <references count="1">
          <reference field="4294967294" count="1">
            <x v="2"/>
          </reference>
        </references>
      </pivotArea>
    </format>
    <format dxfId="167">
      <pivotArea outline="0" fieldPosition="0">
        <references count="4">
          <reference field="4294967294" count="1" selected="0">
            <x v="5"/>
          </reference>
          <reference field="0" count="1" selected="0">
            <x v="1"/>
          </reference>
          <reference field="3" count="1" selected="0">
            <x v="0"/>
          </reference>
          <reference field="32" count="1" selected="0">
            <x v="0"/>
          </reference>
        </references>
      </pivotArea>
    </format>
    <format dxfId="166">
      <pivotArea outline="0" fieldPosition="0">
        <references count="4">
          <reference field="4294967294" count="1" selected="0">
            <x v="8"/>
          </reference>
          <reference field="0" count="1" selected="0">
            <x v="1"/>
          </reference>
          <reference field="3" count="1" selected="0">
            <x v="0"/>
          </reference>
          <reference field="32" count="1" selected="0">
            <x v="0"/>
          </reference>
        </references>
      </pivotArea>
    </format>
    <format dxfId="165">
      <pivotArea outline="0" fieldPosition="0">
        <references count="4">
          <reference field="4294967294" count="1" selected="0">
            <x v="11"/>
          </reference>
          <reference field="0" count="1" selected="0">
            <x v="1"/>
          </reference>
          <reference field="3" count="1" selected="0">
            <x v="0"/>
          </reference>
          <reference field="32" count="1" selected="0">
            <x v="0"/>
          </reference>
        </references>
      </pivotArea>
    </format>
    <format dxfId="164">
      <pivotArea outline="0" fieldPosition="0">
        <references count="4">
          <reference field="4294967294" count="1" selected="0">
            <x v="14"/>
          </reference>
          <reference field="0" count="1" selected="0">
            <x v="1"/>
          </reference>
          <reference field="3" count="1" selected="0">
            <x v="0"/>
          </reference>
          <reference field="32" count="1" selected="0">
            <x v="0"/>
          </reference>
        </references>
      </pivotArea>
    </format>
    <format dxfId="163">
      <pivotArea outline="0" fieldPosition="0">
        <references count="4">
          <reference field="4294967294" count="1" selected="0">
            <x v="17"/>
          </reference>
          <reference field="0" count="1" selected="0">
            <x v="1"/>
          </reference>
          <reference field="3" count="1" selected="0">
            <x v="0"/>
          </reference>
          <reference field="32" count="1" selected="0">
            <x v="0"/>
          </reference>
        </references>
      </pivotArea>
    </format>
    <format dxfId="162">
      <pivotArea outline="0" fieldPosition="0">
        <references count="4">
          <reference field="4294967294" count="1" selected="0">
            <x v="20"/>
          </reference>
          <reference field="0" count="1" selected="0">
            <x v="1"/>
          </reference>
          <reference field="3" count="1" selected="0">
            <x v="0"/>
          </reference>
          <reference field="32" count="1" selected="0">
            <x v="0"/>
          </reference>
        </references>
      </pivotArea>
    </format>
    <format dxfId="161">
      <pivotArea outline="0" fieldPosition="0">
        <references count="4">
          <reference field="4294967294" count="1" selected="0">
            <x v="23"/>
          </reference>
          <reference field="0" count="1" selected="0">
            <x v="1"/>
          </reference>
          <reference field="3" count="1" selected="0">
            <x v="0"/>
          </reference>
          <reference field="32" count="1" selected="0">
            <x v="0"/>
          </reference>
        </references>
      </pivotArea>
    </format>
    <format dxfId="160">
      <pivotArea outline="0" fieldPosition="0">
        <references count="4">
          <reference field="4294967294" count="1" selected="0">
            <x v="26"/>
          </reference>
          <reference field="0" count="1" selected="0">
            <x v="1"/>
          </reference>
          <reference field="3" count="1" selected="0">
            <x v="0"/>
          </reference>
          <reference field="32" count="1" selected="0">
            <x v="0"/>
          </reference>
        </references>
      </pivotArea>
    </format>
    <format dxfId="159">
      <pivotArea outline="0" fieldPosition="0">
        <references count="4">
          <reference field="4294967294" count="1" selected="0">
            <x v="29"/>
          </reference>
          <reference field="0" count="1" selected="0">
            <x v="1"/>
          </reference>
          <reference field="3" count="1" selected="0">
            <x v="0"/>
          </reference>
          <reference field="32" count="1" selected="0">
            <x v="0"/>
          </reference>
        </references>
      </pivotArea>
    </format>
    <format dxfId="158">
      <pivotArea outline="0" fieldPosition="0">
        <references count="4">
          <reference field="4294967294" count="1" selected="0">
            <x v="32"/>
          </reference>
          <reference field="0" count="1" selected="0">
            <x v="1"/>
          </reference>
          <reference field="3" count="1" selected="0">
            <x v="0"/>
          </reference>
          <reference field="32" count="1" selected="0">
            <x v="0"/>
          </reference>
        </references>
      </pivotArea>
    </format>
    <format dxfId="157">
      <pivotArea outline="0" fieldPosition="0">
        <references count="4">
          <reference field="4294967294" count="1" selected="0">
            <x v="35"/>
          </reference>
          <reference field="0" count="1" selected="0">
            <x v="1"/>
          </reference>
          <reference field="3" count="1" selected="0">
            <x v="0"/>
          </reference>
          <reference field="32" count="1" selected="0">
            <x v="0"/>
          </reference>
        </references>
      </pivotArea>
    </format>
    <format dxfId="156">
      <pivotArea outline="0" fieldPosition="0">
        <references count="2">
          <reference field="4294967294" count="2" selected="0">
            <x v="0"/>
            <x v="1"/>
          </reference>
          <reference field="0" count="1" selected="0">
            <x v="1"/>
          </reference>
        </references>
      </pivotArea>
    </format>
    <format dxfId="155">
      <pivotArea outline="0" fieldPosition="0">
        <references count="2">
          <reference field="4294967294" count="1" selected="0">
            <x v="32"/>
          </reference>
          <reference field="0" count="1" selected="0">
            <x v="1"/>
          </reference>
        </references>
      </pivotArea>
    </format>
    <format dxfId="154">
      <pivotArea dataOnly="0" labelOnly="1" outline="0" fieldPosition="0">
        <references count="1">
          <reference field="0" count="1">
            <x v="7"/>
          </reference>
        </references>
      </pivotArea>
    </format>
  </formats>
  <conditionalFormats count="281">
    <conditionalFormat priority="881">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83">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85">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87">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89">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91">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93">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95">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97">
      <pivotAreas count="576">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898">
      <pivotAreas count="576">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899">
      <pivotAreas count="36">
        <pivotArea type="data" grandRow="1" outline="0" collapsedLevelsAreSubtotals="1" fieldPosition="0">
          <references count="2">
            <reference field="4294967294" count="1" selected="0">
              <x v="35"/>
            </reference>
            <reference field="32" count="1" selected="0" defaultSubtotal="1">
              <x v="0"/>
            </reference>
          </references>
        </pivotArea>
        <pivotArea type="data" grandRow="1" outline="0" collapsedLevelsAreSubtotals="1" fieldPosition="0">
          <references count="2">
            <reference field="4294967294" count="1" selected="0">
              <x v="35"/>
            </reference>
            <reference field="32" count="1" selected="0" defaultSubtotal="1">
              <x v="1"/>
            </reference>
          </references>
        </pivotArea>
        <pivotArea type="data" grandRow="1" outline="0" collapsedLevelsAreSubtotals="1" fieldPosition="0">
          <references count="2">
            <reference field="4294967294" count="1" selected="0">
              <x v="35"/>
            </reference>
            <reference field="32" count="1" selected="0" defaultSubtotal="1">
              <x v="2"/>
            </reference>
          </references>
        </pivotArea>
        <pivotArea type="data" grandRow="1" outline="0" collapsedLevelsAreSubtotals="1" fieldPosition="0">
          <references count="2">
            <reference field="4294967294" count="1" selected="0">
              <x v="2"/>
            </reference>
            <reference field="32" count="1" selected="0" defaultSubtotal="1">
              <x v="0"/>
            </reference>
          </references>
        </pivotArea>
        <pivotArea type="data" grandRow="1" outline="0" collapsedLevelsAreSubtotals="1" fieldPosition="0">
          <references count="2">
            <reference field="4294967294" count="1" selected="0">
              <x v="2"/>
            </reference>
            <reference field="32" count="1" selected="0" defaultSubtotal="1">
              <x v="1"/>
            </reference>
          </references>
        </pivotArea>
        <pivotArea type="data" grandRow="1" outline="0" collapsedLevelsAreSubtotals="1" fieldPosition="0">
          <references count="2">
            <reference field="4294967294" count="1" selected="0">
              <x v="2"/>
            </reference>
            <reference field="32" count="1" selected="0" defaultSubtotal="1">
              <x v="2"/>
            </reference>
          </references>
        </pivotArea>
        <pivotArea type="data" grandRow="1" outline="0" collapsedLevelsAreSubtotals="1" fieldPosition="0">
          <references count="2">
            <reference field="4294967294" count="1" selected="0">
              <x v="5"/>
            </reference>
            <reference field="32" count="1" selected="0" defaultSubtotal="1">
              <x v="0"/>
            </reference>
          </references>
        </pivotArea>
        <pivotArea type="data" grandRow="1" outline="0" collapsedLevelsAreSubtotals="1" fieldPosition="0">
          <references count="2">
            <reference field="4294967294" count="1" selected="0">
              <x v="5"/>
            </reference>
            <reference field="32" count="1" selected="0" defaultSubtotal="1">
              <x v="1"/>
            </reference>
          </references>
        </pivotArea>
        <pivotArea type="data" grandRow="1" outline="0" collapsedLevelsAreSubtotals="1" fieldPosition="0">
          <references count="2">
            <reference field="4294967294" count="1" selected="0">
              <x v="5"/>
            </reference>
            <reference field="32" count="1" selected="0" defaultSubtotal="1">
              <x v="2"/>
            </reference>
          </references>
        </pivotArea>
        <pivotArea type="data" grandRow="1" outline="0" collapsedLevelsAreSubtotals="1" fieldPosition="0">
          <references count="2">
            <reference field="4294967294" count="1" selected="0">
              <x v="8"/>
            </reference>
            <reference field="32" count="1" selected="0" defaultSubtotal="1">
              <x v="0"/>
            </reference>
          </references>
        </pivotArea>
        <pivotArea type="data" grandRow="1" outline="0" collapsedLevelsAreSubtotals="1" fieldPosition="0">
          <references count="2">
            <reference field="4294967294" count="1" selected="0">
              <x v="8"/>
            </reference>
            <reference field="32" count="1" selected="0" defaultSubtotal="1">
              <x v="1"/>
            </reference>
          </references>
        </pivotArea>
        <pivotArea type="data" grandRow="1" outline="0" collapsedLevelsAreSubtotals="1" fieldPosition="0">
          <references count="2">
            <reference field="4294967294" count="1" selected="0">
              <x v="8"/>
            </reference>
            <reference field="32" count="1" selected="0" defaultSubtotal="1">
              <x v="2"/>
            </reference>
          </references>
        </pivotArea>
        <pivotArea type="data" grandRow="1" outline="0" collapsedLevelsAreSubtotals="1" fieldPosition="0">
          <references count="2">
            <reference field="4294967294" count="1" selected="0">
              <x v="11"/>
            </reference>
            <reference field="32" count="1" selected="0" defaultSubtotal="1">
              <x v="0"/>
            </reference>
          </references>
        </pivotArea>
        <pivotArea type="data" grandRow="1" outline="0" collapsedLevelsAreSubtotals="1" fieldPosition="0">
          <references count="2">
            <reference field="4294967294" count="1" selected="0">
              <x v="11"/>
            </reference>
            <reference field="32" count="1" selected="0" defaultSubtotal="1">
              <x v="1"/>
            </reference>
          </references>
        </pivotArea>
        <pivotArea type="data" grandRow="1" outline="0" collapsedLevelsAreSubtotals="1" fieldPosition="0">
          <references count="2">
            <reference field="4294967294" count="1" selected="0">
              <x v="11"/>
            </reference>
            <reference field="32" count="1" selected="0" defaultSubtotal="1">
              <x v="2"/>
            </reference>
          </references>
        </pivotArea>
        <pivotArea type="data" grandRow="1" outline="0" collapsedLevelsAreSubtotals="1" fieldPosition="0">
          <references count="2">
            <reference field="4294967294" count="1" selected="0">
              <x v="14"/>
            </reference>
            <reference field="32" count="1" selected="0" defaultSubtotal="1">
              <x v="0"/>
            </reference>
          </references>
        </pivotArea>
        <pivotArea type="data" grandRow="1" outline="0" collapsedLevelsAreSubtotals="1" fieldPosition="0">
          <references count="2">
            <reference field="4294967294" count="1" selected="0">
              <x v="14"/>
            </reference>
            <reference field="32" count="1" selected="0" defaultSubtotal="1">
              <x v="1"/>
            </reference>
          </references>
        </pivotArea>
        <pivotArea type="data" grandRow="1" outline="0" collapsedLevelsAreSubtotals="1" fieldPosition="0">
          <references count="2">
            <reference field="4294967294" count="1" selected="0">
              <x v="14"/>
            </reference>
            <reference field="32" count="1" selected="0" defaultSubtotal="1">
              <x v="2"/>
            </reference>
          </references>
        </pivotArea>
        <pivotArea type="data" grandRow="1" outline="0" collapsedLevelsAreSubtotals="1" fieldPosition="0">
          <references count="2">
            <reference field="4294967294" count="1" selected="0">
              <x v="17"/>
            </reference>
            <reference field="32" count="1" selected="0" defaultSubtotal="1">
              <x v="0"/>
            </reference>
          </references>
        </pivotArea>
        <pivotArea type="data" grandRow="1" outline="0" collapsedLevelsAreSubtotals="1" fieldPosition="0">
          <references count="2">
            <reference field="4294967294" count="1" selected="0">
              <x v="17"/>
            </reference>
            <reference field="32" count="1" selected="0" defaultSubtotal="1">
              <x v="1"/>
            </reference>
          </references>
        </pivotArea>
        <pivotArea type="data" grandRow="1" outline="0" collapsedLevelsAreSubtotals="1" fieldPosition="0">
          <references count="2">
            <reference field="4294967294" count="1" selected="0">
              <x v="17"/>
            </reference>
            <reference field="32" count="1" selected="0" defaultSubtotal="1">
              <x v="2"/>
            </reference>
          </references>
        </pivotArea>
        <pivotArea type="data" grandRow="1" outline="0" collapsedLevelsAreSubtotals="1" fieldPosition="0">
          <references count="2">
            <reference field="4294967294" count="1" selected="0">
              <x v="20"/>
            </reference>
            <reference field="32" count="1" selected="0" defaultSubtotal="1">
              <x v="0"/>
            </reference>
          </references>
        </pivotArea>
        <pivotArea type="data" grandRow="1" outline="0" collapsedLevelsAreSubtotals="1" fieldPosition="0">
          <references count="2">
            <reference field="4294967294" count="1" selected="0">
              <x v="20"/>
            </reference>
            <reference field="32" count="1" selected="0" defaultSubtotal="1">
              <x v="1"/>
            </reference>
          </references>
        </pivotArea>
        <pivotArea type="data" grandRow="1" outline="0" collapsedLevelsAreSubtotals="1" fieldPosition="0">
          <references count="2">
            <reference field="4294967294" count="1" selected="0">
              <x v="20"/>
            </reference>
            <reference field="32" count="1" selected="0" defaultSubtotal="1">
              <x v="2"/>
            </reference>
          </references>
        </pivotArea>
        <pivotArea type="data" grandRow="1" outline="0" collapsedLevelsAreSubtotals="1" fieldPosition="0">
          <references count="2">
            <reference field="4294967294" count="1" selected="0">
              <x v="23"/>
            </reference>
            <reference field="32" count="1" selected="0" defaultSubtotal="1">
              <x v="0"/>
            </reference>
          </references>
        </pivotArea>
        <pivotArea type="data" grandRow="1" outline="0" collapsedLevelsAreSubtotals="1" fieldPosition="0">
          <references count="2">
            <reference field="4294967294" count="1" selected="0">
              <x v="23"/>
            </reference>
            <reference field="32" count="1" selected="0" defaultSubtotal="1">
              <x v="1"/>
            </reference>
          </references>
        </pivotArea>
        <pivotArea type="data" grandRow="1" outline="0" collapsedLevelsAreSubtotals="1" fieldPosition="0">
          <references count="2">
            <reference field="4294967294" count="1" selected="0">
              <x v="23"/>
            </reference>
            <reference field="32" count="1" selected="0" defaultSubtotal="1">
              <x v="2"/>
            </reference>
          </references>
        </pivotArea>
        <pivotArea type="data" grandRow="1" outline="0" collapsedLevelsAreSubtotals="1" fieldPosition="0">
          <references count="2">
            <reference field="4294967294" count="1" selected="0">
              <x v="26"/>
            </reference>
            <reference field="32" count="1" selected="0" defaultSubtotal="1">
              <x v="0"/>
            </reference>
          </references>
        </pivotArea>
        <pivotArea type="data" grandRow="1" outline="0" collapsedLevelsAreSubtotals="1" fieldPosition="0">
          <references count="2">
            <reference field="4294967294" count="1" selected="0">
              <x v="26"/>
            </reference>
            <reference field="32" count="1" selected="0" defaultSubtotal="1">
              <x v="1"/>
            </reference>
          </references>
        </pivotArea>
        <pivotArea type="data" grandRow="1" outline="0" collapsedLevelsAreSubtotals="1" fieldPosition="0">
          <references count="2">
            <reference field="4294967294" count="1" selected="0">
              <x v="26"/>
            </reference>
            <reference field="32" count="1" selected="0" defaultSubtotal="1">
              <x v="2"/>
            </reference>
          </references>
        </pivotArea>
        <pivotArea type="data" grandRow="1" outline="0" collapsedLevelsAreSubtotals="1" fieldPosition="0">
          <references count="2">
            <reference field="4294967294" count="1" selected="0">
              <x v="29"/>
            </reference>
            <reference field="32" count="1" selected="0" defaultSubtotal="1">
              <x v="0"/>
            </reference>
          </references>
        </pivotArea>
        <pivotArea type="data" grandRow="1" outline="0" collapsedLevelsAreSubtotals="1" fieldPosition="0">
          <references count="2">
            <reference field="4294967294" count="1" selected="0">
              <x v="29"/>
            </reference>
            <reference field="32" count="1" selected="0" defaultSubtotal="1">
              <x v="1"/>
            </reference>
          </references>
        </pivotArea>
        <pivotArea type="data" grandRow="1" outline="0" collapsedLevelsAreSubtotals="1" fieldPosition="0">
          <references count="2">
            <reference field="4294967294" count="1" selected="0">
              <x v="29"/>
            </reference>
            <reference field="32" count="1" selected="0" defaultSubtotal="1">
              <x v="2"/>
            </reference>
          </references>
        </pivotArea>
        <pivotArea type="data" grandRow="1" outline="0" collapsedLevelsAreSubtotals="1" fieldPosition="0">
          <references count="2">
            <reference field="4294967294" count="1" selected="0">
              <x v="32"/>
            </reference>
            <reference field="32" count="1" selected="0" defaultSubtotal="1">
              <x v="0"/>
            </reference>
          </references>
        </pivotArea>
        <pivotArea type="data" grandRow="1" outline="0" collapsedLevelsAreSubtotals="1" fieldPosition="0">
          <references count="2">
            <reference field="4294967294" count="1" selected="0">
              <x v="32"/>
            </reference>
            <reference field="32" count="1" selected="0" defaultSubtotal="1">
              <x v="1"/>
            </reference>
          </references>
        </pivotArea>
        <pivotArea type="data" grandRow="1" outline="0" collapsedLevelsAreSubtotals="1" fieldPosition="0">
          <references count="2">
            <reference field="4294967294" count="1" selected="0">
              <x v="32"/>
            </reference>
            <reference field="32" count="1" selected="0" defaultSubtotal="1">
              <x v="2"/>
            </reference>
          </references>
        </pivotArea>
      </pivotAreas>
    </conditionalFormat>
    <conditionalFormat priority="900">
      <pivotAreas count="36">
        <pivotArea type="data" grandRow="1" outline="0" collapsedLevelsAreSubtotals="1" fieldPosition="0">
          <references count="2">
            <reference field="4294967294" count="1" selected="0">
              <x v="35"/>
            </reference>
            <reference field="32" count="1" selected="0" defaultSubtotal="1">
              <x v="0"/>
            </reference>
          </references>
        </pivotArea>
        <pivotArea type="data" grandRow="1" outline="0" collapsedLevelsAreSubtotals="1" fieldPosition="0">
          <references count="2">
            <reference field="4294967294" count="1" selected="0">
              <x v="35"/>
            </reference>
            <reference field="32" count="1" selected="0" defaultSubtotal="1">
              <x v="1"/>
            </reference>
          </references>
        </pivotArea>
        <pivotArea type="data" grandRow="1" outline="0" collapsedLevelsAreSubtotals="1" fieldPosition="0">
          <references count="2">
            <reference field="4294967294" count="1" selected="0">
              <x v="35"/>
            </reference>
            <reference field="32" count="1" selected="0" defaultSubtotal="1">
              <x v="2"/>
            </reference>
          </references>
        </pivotArea>
        <pivotArea type="data" grandRow="1" outline="0" collapsedLevelsAreSubtotals="1" fieldPosition="0">
          <references count="2">
            <reference field="4294967294" count="1" selected="0">
              <x v="2"/>
            </reference>
            <reference field="32" count="1" selected="0" defaultSubtotal="1">
              <x v="0"/>
            </reference>
          </references>
        </pivotArea>
        <pivotArea type="data" grandRow="1" outline="0" collapsedLevelsAreSubtotals="1" fieldPosition="0">
          <references count="2">
            <reference field="4294967294" count="1" selected="0">
              <x v="2"/>
            </reference>
            <reference field="32" count="1" selected="0" defaultSubtotal="1">
              <x v="1"/>
            </reference>
          </references>
        </pivotArea>
        <pivotArea type="data" grandRow="1" outline="0" collapsedLevelsAreSubtotals="1" fieldPosition="0">
          <references count="2">
            <reference field="4294967294" count="1" selected="0">
              <x v="2"/>
            </reference>
            <reference field="32" count="1" selected="0" defaultSubtotal="1">
              <x v="2"/>
            </reference>
          </references>
        </pivotArea>
        <pivotArea type="data" grandRow="1" outline="0" collapsedLevelsAreSubtotals="1" fieldPosition="0">
          <references count="2">
            <reference field="4294967294" count="1" selected="0">
              <x v="5"/>
            </reference>
            <reference field="32" count="1" selected="0" defaultSubtotal="1">
              <x v="0"/>
            </reference>
          </references>
        </pivotArea>
        <pivotArea type="data" grandRow="1" outline="0" collapsedLevelsAreSubtotals="1" fieldPosition="0">
          <references count="2">
            <reference field="4294967294" count="1" selected="0">
              <x v="5"/>
            </reference>
            <reference field="32" count="1" selected="0" defaultSubtotal="1">
              <x v="1"/>
            </reference>
          </references>
        </pivotArea>
        <pivotArea type="data" grandRow="1" outline="0" collapsedLevelsAreSubtotals="1" fieldPosition="0">
          <references count="2">
            <reference field="4294967294" count="1" selected="0">
              <x v="5"/>
            </reference>
            <reference field="32" count="1" selected="0" defaultSubtotal="1">
              <x v="2"/>
            </reference>
          </references>
        </pivotArea>
        <pivotArea type="data" grandRow="1" outline="0" collapsedLevelsAreSubtotals="1" fieldPosition="0">
          <references count="2">
            <reference field="4294967294" count="1" selected="0">
              <x v="8"/>
            </reference>
            <reference field="32" count="1" selected="0" defaultSubtotal="1">
              <x v="0"/>
            </reference>
          </references>
        </pivotArea>
        <pivotArea type="data" grandRow="1" outline="0" collapsedLevelsAreSubtotals="1" fieldPosition="0">
          <references count="2">
            <reference field="4294967294" count="1" selected="0">
              <x v="8"/>
            </reference>
            <reference field="32" count="1" selected="0" defaultSubtotal="1">
              <x v="1"/>
            </reference>
          </references>
        </pivotArea>
        <pivotArea type="data" grandRow="1" outline="0" collapsedLevelsAreSubtotals="1" fieldPosition="0">
          <references count="2">
            <reference field="4294967294" count="1" selected="0">
              <x v="8"/>
            </reference>
            <reference field="32" count="1" selected="0" defaultSubtotal="1">
              <x v="2"/>
            </reference>
          </references>
        </pivotArea>
        <pivotArea type="data" grandRow="1" outline="0" collapsedLevelsAreSubtotals="1" fieldPosition="0">
          <references count="2">
            <reference field="4294967294" count="1" selected="0">
              <x v="11"/>
            </reference>
            <reference field="32" count="1" selected="0" defaultSubtotal="1">
              <x v="0"/>
            </reference>
          </references>
        </pivotArea>
        <pivotArea type="data" grandRow="1" outline="0" collapsedLevelsAreSubtotals="1" fieldPosition="0">
          <references count="2">
            <reference field="4294967294" count="1" selected="0">
              <x v="11"/>
            </reference>
            <reference field="32" count="1" selected="0" defaultSubtotal="1">
              <x v="1"/>
            </reference>
          </references>
        </pivotArea>
        <pivotArea type="data" grandRow="1" outline="0" collapsedLevelsAreSubtotals="1" fieldPosition="0">
          <references count="2">
            <reference field="4294967294" count="1" selected="0">
              <x v="11"/>
            </reference>
            <reference field="32" count="1" selected="0" defaultSubtotal="1">
              <x v="2"/>
            </reference>
          </references>
        </pivotArea>
        <pivotArea type="data" grandRow="1" outline="0" collapsedLevelsAreSubtotals="1" fieldPosition="0">
          <references count="2">
            <reference field="4294967294" count="1" selected="0">
              <x v="14"/>
            </reference>
            <reference field="32" count="1" selected="0" defaultSubtotal="1">
              <x v="0"/>
            </reference>
          </references>
        </pivotArea>
        <pivotArea type="data" grandRow="1" outline="0" collapsedLevelsAreSubtotals="1" fieldPosition="0">
          <references count="2">
            <reference field="4294967294" count="1" selected="0">
              <x v="14"/>
            </reference>
            <reference field="32" count="1" selected="0" defaultSubtotal="1">
              <x v="1"/>
            </reference>
          </references>
        </pivotArea>
        <pivotArea type="data" grandRow="1" outline="0" collapsedLevelsAreSubtotals="1" fieldPosition="0">
          <references count="2">
            <reference field="4294967294" count="1" selected="0">
              <x v="14"/>
            </reference>
            <reference field="32" count="1" selected="0" defaultSubtotal="1">
              <x v="2"/>
            </reference>
          </references>
        </pivotArea>
        <pivotArea type="data" grandRow="1" outline="0" collapsedLevelsAreSubtotals="1" fieldPosition="0">
          <references count="2">
            <reference field="4294967294" count="1" selected="0">
              <x v="17"/>
            </reference>
            <reference field="32" count="1" selected="0" defaultSubtotal="1">
              <x v="0"/>
            </reference>
          </references>
        </pivotArea>
        <pivotArea type="data" grandRow="1" outline="0" collapsedLevelsAreSubtotals="1" fieldPosition="0">
          <references count="2">
            <reference field="4294967294" count="1" selected="0">
              <x v="17"/>
            </reference>
            <reference field="32" count="1" selected="0" defaultSubtotal="1">
              <x v="1"/>
            </reference>
          </references>
        </pivotArea>
        <pivotArea type="data" grandRow="1" outline="0" collapsedLevelsAreSubtotals="1" fieldPosition="0">
          <references count="2">
            <reference field="4294967294" count="1" selected="0">
              <x v="17"/>
            </reference>
            <reference field="32" count="1" selected="0" defaultSubtotal="1">
              <x v="2"/>
            </reference>
          </references>
        </pivotArea>
        <pivotArea type="data" grandRow="1" outline="0" collapsedLevelsAreSubtotals="1" fieldPosition="0">
          <references count="2">
            <reference field="4294967294" count="1" selected="0">
              <x v="20"/>
            </reference>
            <reference field="32" count="1" selected="0" defaultSubtotal="1">
              <x v="0"/>
            </reference>
          </references>
        </pivotArea>
        <pivotArea type="data" grandRow="1" outline="0" collapsedLevelsAreSubtotals="1" fieldPosition="0">
          <references count="2">
            <reference field="4294967294" count="1" selected="0">
              <x v="20"/>
            </reference>
            <reference field="32" count="1" selected="0" defaultSubtotal="1">
              <x v="1"/>
            </reference>
          </references>
        </pivotArea>
        <pivotArea type="data" grandRow="1" outline="0" collapsedLevelsAreSubtotals="1" fieldPosition="0">
          <references count="2">
            <reference field="4294967294" count="1" selected="0">
              <x v="20"/>
            </reference>
            <reference field="32" count="1" selected="0" defaultSubtotal="1">
              <x v="2"/>
            </reference>
          </references>
        </pivotArea>
        <pivotArea type="data" grandRow="1" outline="0" collapsedLevelsAreSubtotals="1" fieldPosition="0">
          <references count="2">
            <reference field="4294967294" count="1" selected="0">
              <x v="23"/>
            </reference>
            <reference field="32" count="1" selected="0" defaultSubtotal="1">
              <x v="0"/>
            </reference>
          </references>
        </pivotArea>
        <pivotArea type="data" grandRow="1" outline="0" collapsedLevelsAreSubtotals="1" fieldPosition="0">
          <references count="2">
            <reference field="4294967294" count="1" selected="0">
              <x v="23"/>
            </reference>
            <reference field="32" count="1" selected="0" defaultSubtotal="1">
              <x v="1"/>
            </reference>
          </references>
        </pivotArea>
        <pivotArea type="data" grandRow="1" outline="0" collapsedLevelsAreSubtotals="1" fieldPosition="0">
          <references count="2">
            <reference field="4294967294" count="1" selected="0">
              <x v="23"/>
            </reference>
            <reference field="32" count="1" selected="0" defaultSubtotal="1">
              <x v="2"/>
            </reference>
          </references>
        </pivotArea>
        <pivotArea type="data" grandRow="1" outline="0" collapsedLevelsAreSubtotals="1" fieldPosition="0">
          <references count="2">
            <reference field="4294967294" count="1" selected="0">
              <x v="26"/>
            </reference>
            <reference field="32" count="1" selected="0" defaultSubtotal="1">
              <x v="0"/>
            </reference>
          </references>
        </pivotArea>
        <pivotArea type="data" grandRow="1" outline="0" collapsedLevelsAreSubtotals="1" fieldPosition="0">
          <references count="2">
            <reference field="4294967294" count="1" selected="0">
              <x v="26"/>
            </reference>
            <reference field="32" count="1" selected="0" defaultSubtotal="1">
              <x v="1"/>
            </reference>
          </references>
        </pivotArea>
        <pivotArea type="data" grandRow="1" outline="0" collapsedLevelsAreSubtotals="1" fieldPosition="0">
          <references count="2">
            <reference field="4294967294" count="1" selected="0">
              <x v="26"/>
            </reference>
            <reference field="32" count="1" selected="0" defaultSubtotal="1">
              <x v="2"/>
            </reference>
          </references>
        </pivotArea>
        <pivotArea type="data" grandRow="1" outline="0" collapsedLevelsAreSubtotals="1" fieldPosition="0">
          <references count="2">
            <reference field="4294967294" count="1" selected="0">
              <x v="29"/>
            </reference>
            <reference field="32" count="1" selected="0" defaultSubtotal="1">
              <x v="0"/>
            </reference>
          </references>
        </pivotArea>
        <pivotArea type="data" grandRow="1" outline="0" collapsedLevelsAreSubtotals="1" fieldPosition="0">
          <references count="2">
            <reference field="4294967294" count="1" selected="0">
              <x v="29"/>
            </reference>
            <reference field="32" count="1" selected="0" defaultSubtotal="1">
              <x v="1"/>
            </reference>
          </references>
        </pivotArea>
        <pivotArea type="data" grandRow="1" outline="0" collapsedLevelsAreSubtotals="1" fieldPosition="0">
          <references count="2">
            <reference field="4294967294" count="1" selected="0">
              <x v="29"/>
            </reference>
            <reference field="32" count="1" selected="0" defaultSubtotal="1">
              <x v="2"/>
            </reference>
          </references>
        </pivotArea>
        <pivotArea type="data" grandRow="1" outline="0" collapsedLevelsAreSubtotals="1" fieldPosition="0">
          <references count="2">
            <reference field="4294967294" count="1" selected="0">
              <x v="32"/>
            </reference>
            <reference field="32" count="1" selected="0" defaultSubtotal="1">
              <x v="0"/>
            </reference>
          </references>
        </pivotArea>
        <pivotArea type="data" grandRow="1" outline="0" collapsedLevelsAreSubtotals="1" fieldPosition="0">
          <references count="2">
            <reference field="4294967294" count="1" selected="0">
              <x v="32"/>
            </reference>
            <reference field="32" count="1" selected="0" defaultSubtotal="1">
              <x v="1"/>
            </reference>
          </references>
        </pivotArea>
        <pivotArea type="data" grandRow="1" outline="0" collapsedLevelsAreSubtotals="1" fieldPosition="0">
          <references count="2">
            <reference field="4294967294" count="1" selected="0">
              <x v="32"/>
            </reference>
            <reference field="32" count="1" selected="0" defaultSubtotal="1">
              <x v="2"/>
            </reference>
          </references>
        </pivotArea>
      </pivotAreas>
    </conditionalFormat>
    <conditionalFormat priority="901">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903">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905">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907">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917">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919">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924">
      <pivotAreas count="192">
        <pivotArea type="data" outline="0" collapsedLevelsAreSubtotals="1" fieldPosition="0">
          <references count="3">
            <reference field="4294967294" count="1" selected="0">
              <x v="2"/>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5"/>
            </reference>
            <reference field="32" count="3" selected="0" defaultSubtotal="1">
              <x v="0"/>
              <x v="1"/>
              <x v="2"/>
            </reference>
          </references>
        </pivotArea>
      </pivotAreas>
    </conditionalFormat>
    <conditionalFormat priority="923">
      <pivotAreas count="192">
        <pivotArea type="data" outline="0" collapsedLevelsAreSubtotals="1" fieldPosition="0">
          <references count="3">
            <reference field="4294967294" count="1" selected="0">
              <x v="2"/>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0"/>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2"/>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3"/>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4"/>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5"/>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6"/>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7"/>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8"/>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9"/>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0"/>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1"/>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2"/>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3"/>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4"/>
            </reference>
            <reference field="32" count="3" selected="0" defaultSubtotal="1">
              <x v="0"/>
              <x v="1"/>
              <x v="2"/>
            </reference>
          </references>
        </pivotArea>
        <pivotArea type="data" outline="0" collapsedLevelsAreSubtotals="1" fieldPosition="0">
          <references count="3">
            <reference field="4294967294" count="1" selected="0">
              <x v="2"/>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5"/>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8"/>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11"/>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14"/>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17"/>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20"/>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23"/>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26"/>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29"/>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32"/>
            </reference>
            <reference field="0" count="1" selected="0">
              <x v="15"/>
            </reference>
            <reference field="32" count="3" selected="0" defaultSubtotal="1">
              <x v="0"/>
              <x v="1"/>
              <x v="2"/>
            </reference>
          </references>
        </pivotArea>
        <pivotArea type="data" outline="0" collapsedLevelsAreSubtotals="1" fieldPosition="0">
          <references count="3">
            <reference field="4294967294" count="1" selected="0">
              <x v="35"/>
            </reference>
            <reference field="0" count="1" selected="0">
              <x v="15"/>
            </reference>
            <reference field="32" count="3" selected="0" defaultSubtotal="1">
              <x v="0"/>
              <x v="1"/>
              <x v="2"/>
            </reference>
          </references>
        </pivotArea>
      </pivotAreas>
    </conditionalFormat>
    <conditionalFormat priority="922">
      <pivotAreas count="12">
        <pivotArea type="data" grandRow="1" outline="0" collapsedLevelsAreSubtotals="1" fieldPosition="0">
          <references count="2">
            <reference field="4294967294" count="1" selected="0">
              <x v="35"/>
            </reference>
            <reference field="32" count="3" selected="0" defaultSubtotal="1">
              <x v="0"/>
              <x v="1"/>
              <x v="2"/>
            </reference>
          </references>
        </pivotArea>
        <pivotArea type="data" grandRow="1" outline="0" collapsedLevelsAreSubtotals="1" fieldPosition="0">
          <references count="2">
            <reference field="4294967294" count="1" selected="0">
              <x v="2"/>
            </reference>
            <reference field="32" count="3" selected="0" defaultSubtotal="1">
              <x v="0"/>
              <x v="1"/>
              <x v="2"/>
            </reference>
          </references>
        </pivotArea>
        <pivotArea type="data" grandRow="1" outline="0" collapsedLevelsAreSubtotals="1" fieldPosition="0">
          <references count="2">
            <reference field="4294967294" count="1" selected="0">
              <x v="5"/>
            </reference>
            <reference field="32" count="3" selected="0" defaultSubtotal="1">
              <x v="0"/>
              <x v="1"/>
              <x v="2"/>
            </reference>
          </references>
        </pivotArea>
        <pivotArea type="data" grandRow="1" outline="0" collapsedLevelsAreSubtotals="1" fieldPosition="0">
          <references count="2">
            <reference field="4294967294" count="1" selected="0">
              <x v="8"/>
            </reference>
            <reference field="32" count="3" selected="0" defaultSubtotal="1">
              <x v="0"/>
              <x v="1"/>
              <x v="2"/>
            </reference>
          </references>
        </pivotArea>
        <pivotArea type="data" grandRow="1" outline="0" collapsedLevelsAreSubtotals="1" fieldPosition="0">
          <references count="2">
            <reference field="4294967294" count="1" selected="0">
              <x v="11"/>
            </reference>
            <reference field="32" count="3" selected="0" defaultSubtotal="1">
              <x v="0"/>
              <x v="1"/>
              <x v="2"/>
            </reference>
          </references>
        </pivotArea>
        <pivotArea type="data" grandRow="1" outline="0" collapsedLevelsAreSubtotals="1" fieldPosition="0">
          <references count="2">
            <reference field="4294967294" count="1" selected="0">
              <x v="14"/>
            </reference>
            <reference field="32" count="3" selected="0" defaultSubtotal="1">
              <x v="0"/>
              <x v="1"/>
              <x v="2"/>
            </reference>
          </references>
        </pivotArea>
        <pivotArea type="data" grandRow="1" outline="0" collapsedLevelsAreSubtotals="1" fieldPosition="0">
          <references count="2">
            <reference field="4294967294" count="1" selected="0">
              <x v="17"/>
            </reference>
            <reference field="32" count="3" selected="0" defaultSubtotal="1">
              <x v="0"/>
              <x v="1"/>
              <x v="2"/>
            </reference>
          </references>
        </pivotArea>
        <pivotArea type="data" grandRow="1" outline="0" collapsedLevelsAreSubtotals="1" fieldPosition="0">
          <references count="2">
            <reference field="4294967294" count="1" selected="0">
              <x v="20"/>
            </reference>
            <reference field="32" count="3" selected="0" defaultSubtotal="1">
              <x v="0"/>
              <x v="1"/>
              <x v="2"/>
            </reference>
          </references>
        </pivotArea>
        <pivotArea type="data" grandRow="1" outline="0" collapsedLevelsAreSubtotals="1" fieldPosition="0">
          <references count="2">
            <reference field="4294967294" count="1" selected="0">
              <x v="23"/>
            </reference>
            <reference field="32" count="3" selected="0" defaultSubtotal="1">
              <x v="0"/>
              <x v="1"/>
              <x v="2"/>
            </reference>
          </references>
        </pivotArea>
        <pivotArea type="data" grandRow="1" outline="0" collapsedLevelsAreSubtotals="1" fieldPosition="0">
          <references count="2">
            <reference field="4294967294" count="1" selected="0">
              <x v="26"/>
            </reference>
            <reference field="32" count="3" selected="0" defaultSubtotal="1">
              <x v="0"/>
              <x v="1"/>
              <x v="2"/>
            </reference>
          </references>
        </pivotArea>
        <pivotArea type="data" grandRow="1" outline="0" collapsedLevelsAreSubtotals="1" fieldPosition="0">
          <references count="2">
            <reference field="4294967294" count="1" selected="0">
              <x v="29"/>
            </reference>
            <reference field="32" count="3" selected="0" defaultSubtotal="1">
              <x v="0"/>
              <x v="1"/>
              <x v="2"/>
            </reference>
          </references>
        </pivotArea>
        <pivotArea type="data" grandRow="1" outline="0" collapsedLevelsAreSubtotals="1" fieldPosition="0">
          <references count="2">
            <reference field="4294967294" count="1" selected="0">
              <x v="32"/>
            </reference>
            <reference field="32" count="3" selected="0" defaultSubtotal="1">
              <x v="0"/>
              <x v="1"/>
              <x v="2"/>
            </reference>
          </references>
        </pivotArea>
      </pivotAreas>
    </conditionalFormat>
    <conditionalFormat priority="921">
      <pivotAreas count="12">
        <pivotArea type="data" grandRow="1" outline="0" collapsedLevelsAreSubtotals="1" fieldPosition="0">
          <references count="2">
            <reference field="4294967294" count="1" selected="0">
              <x v="35"/>
            </reference>
            <reference field="32" count="3" selected="0" defaultSubtotal="1">
              <x v="0"/>
              <x v="1"/>
              <x v="2"/>
            </reference>
          </references>
        </pivotArea>
        <pivotArea type="data" grandRow="1" outline="0" collapsedLevelsAreSubtotals="1" fieldPosition="0">
          <references count="2">
            <reference field="4294967294" count="1" selected="0">
              <x v="2"/>
            </reference>
            <reference field="32" count="3" selected="0" defaultSubtotal="1">
              <x v="0"/>
              <x v="1"/>
              <x v="2"/>
            </reference>
          </references>
        </pivotArea>
        <pivotArea type="data" grandRow="1" outline="0" collapsedLevelsAreSubtotals="1" fieldPosition="0">
          <references count="2">
            <reference field="4294967294" count="1" selected="0">
              <x v="5"/>
            </reference>
            <reference field="32" count="3" selected="0" defaultSubtotal="1">
              <x v="0"/>
              <x v="1"/>
              <x v="2"/>
            </reference>
          </references>
        </pivotArea>
        <pivotArea type="data" grandRow="1" outline="0" collapsedLevelsAreSubtotals="1" fieldPosition="0">
          <references count="2">
            <reference field="4294967294" count="1" selected="0">
              <x v="8"/>
            </reference>
            <reference field="32" count="3" selected="0" defaultSubtotal="1">
              <x v="0"/>
              <x v="1"/>
              <x v="2"/>
            </reference>
          </references>
        </pivotArea>
        <pivotArea type="data" grandRow="1" outline="0" collapsedLevelsAreSubtotals="1" fieldPosition="0">
          <references count="2">
            <reference field="4294967294" count="1" selected="0">
              <x v="11"/>
            </reference>
            <reference field="32" count="3" selected="0" defaultSubtotal="1">
              <x v="0"/>
              <x v="1"/>
              <x v="2"/>
            </reference>
          </references>
        </pivotArea>
        <pivotArea type="data" grandRow="1" outline="0" collapsedLevelsAreSubtotals="1" fieldPosition="0">
          <references count="2">
            <reference field="4294967294" count="1" selected="0">
              <x v="14"/>
            </reference>
            <reference field="32" count="3" selected="0" defaultSubtotal="1">
              <x v="0"/>
              <x v="1"/>
              <x v="2"/>
            </reference>
          </references>
        </pivotArea>
        <pivotArea type="data" grandRow="1" outline="0" collapsedLevelsAreSubtotals="1" fieldPosition="0">
          <references count="2">
            <reference field="4294967294" count="1" selected="0">
              <x v="17"/>
            </reference>
            <reference field="32" count="3" selected="0" defaultSubtotal="1">
              <x v="0"/>
              <x v="1"/>
              <x v="2"/>
            </reference>
          </references>
        </pivotArea>
        <pivotArea type="data" grandRow="1" outline="0" collapsedLevelsAreSubtotals="1" fieldPosition="0">
          <references count="2">
            <reference field="4294967294" count="1" selected="0">
              <x v="20"/>
            </reference>
            <reference field="32" count="3" selected="0" defaultSubtotal="1">
              <x v="0"/>
              <x v="1"/>
              <x v="2"/>
            </reference>
          </references>
        </pivotArea>
        <pivotArea type="data" grandRow="1" outline="0" collapsedLevelsAreSubtotals="1" fieldPosition="0">
          <references count="2">
            <reference field="4294967294" count="1" selected="0">
              <x v="23"/>
            </reference>
            <reference field="32" count="3" selected="0" defaultSubtotal="1">
              <x v="0"/>
              <x v="1"/>
              <x v="2"/>
            </reference>
          </references>
        </pivotArea>
        <pivotArea type="data" grandRow="1" outline="0" collapsedLevelsAreSubtotals="1" fieldPosition="0">
          <references count="2">
            <reference field="4294967294" count="1" selected="0">
              <x v="26"/>
            </reference>
            <reference field="32" count="3" selected="0" defaultSubtotal="1">
              <x v="0"/>
              <x v="1"/>
              <x v="2"/>
            </reference>
          </references>
        </pivotArea>
        <pivotArea type="data" grandRow="1" outline="0" collapsedLevelsAreSubtotals="1" fieldPosition="0">
          <references count="2">
            <reference field="4294967294" count="1" selected="0">
              <x v="29"/>
            </reference>
            <reference field="32" count="3" selected="0" defaultSubtotal="1">
              <x v="0"/>
              <x v="1"/>
              <x v="2"/>
            </reference>
          </references>
        </pivotArea>
        <pivotArea type="data" grandRow="1" outline="0" collapsedLevelsAreSubtotals="1" fieldPosition="0">
          <references count="2">
            <reference field="4294967294" count="1" selected="0">
              <x v="32"/>
            </reference>
            <reference field="32" count="3" selected="0" defaultSubtotal="1">
              <x v="0"/>
              <x v="1"/>
              <x v="2"/>
            </reference>
          </references>
        </pivotArea>
      </pivotAreas>
    </conditionalFormat>
    <conditionalFormat priority="915">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913">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911">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909">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80">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879">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877">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75">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73">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71">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69">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68">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867">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865">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63">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61">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59">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58">
      <pivotAreas count="36">
        <pivotArea type="data" grandRow="1" outline="0" collapsedLevelsAreSubtotals="1" fieldPosition="0">
          <references count="2">
            <reference field="4294967294" count="1" selected="0">
              <x v="35"/>
            </reference>
            <reference field="32" count="1" selected="0" defaultSubtotal="1">
              <x v="0"/>
            </reference>
          </references>
        </pivotArea>
        <pivotArea type="data" grandRow="1" outline="0" collapsedLevelsAreSubtotals="1" fieldPosition="0">
          <references count="2">
            <reference field="4294967294" count="1" selected="0">
              <x v="35"/>
            </reference>
            <reference field="32" count="1" selected="0" defaultSubtotal="1">
              <x v="1"/>
            </reference>
          </references>
        </pivotArea>
        <pivotArea type="data" grandRow="1" outline="0" collapsedLevelsAreSubtotals="1" fieldPosition="0">
          <references count="2">
            <reference field="4294967294" count="1" selected="0">
              <x v="35"/>
            </reference>
            <reference field="32" count="1" selected="0" defaultSubtotal="1">
              <x v="2"/>
            </reference>
          </references>
        </pivotArea>
        <pivotArea type="data" grandRow="1" outline="0" collapsedLevelsAreSubtotals="1" fieldPosition="0">
          <references count="2">
            <reference field="4294967294" count="1" selected="0">
              <x v="2"/>
            </reference>
            <reference field="32" count="1" selected="0" defaultSubtotal="1">
              <x v="0"/>
            </reference>
          </references>
        </pivotArea>
        <pivotArea type="data" grandRow="1" outline="0" collapsedLevelsAreSubtotals="1" fieldPosition="0">
          <references count="2">
            <reference field="4294967294" count="1" selected="0">
              <x v="2"/>
            </reference>
            <reference field="32" count="1" selected="0" defaultSubtotal="1">
              <x v="1"/>
            </reference>
          </references>
        </pivotArea>
        <pivotArea type="data" grandRow="1" outline="0" collapsedLevelsAreSubtotals="1" fieldPosition="0">
          <references count="2">
            <reference field="4294967294" count="1" selected="0">
              <x v="2"/>
            </reference>
            <reference field="32" count="1" selected="0" defaultSubtotal="1">
              <x v="2"/>
            </reference>
          </references>
        </pivotArea>
        <pivotArea type="data" grandRow="1" outline="0" collapsedLevelsAreSubtotals="1" fieldPosition="0">
          <references count="2">
            <reference field="4294967294" count="1" selected="0">
              <x v="5"/>
            </reference>
            <reference field="32" count="1" selected="0" defaultSubtotal="1">
              <x v="0"/>
            </reference>
          </references>
        </pivotArea>
        <pivotArea type="data" grandRow="1" outline="0" collapsedLevelsAreSubtotals="1" fieldPosition="0">
          <references count="2">
            <reference field="4294967294" count="1" selected="0">
              <x v="5"/>
            </reference>
            <reference field="32" count="1" selected="0" defaultSubtotal="1">
              <x v="1"/>
            </reference>
          </references>
        </pivotArea>
        <pivotArea type="data" grandRow="1" outline="0" collapsedLevelsAreSubtotals="1" fieldPosition="0">
          <references count="2">
            <reference field="4294967294" count="1" selected="0">
              <x v="5"/>
            </reference>
            <reference field="32" count="1" selected="0" defaultSubtotal="1">
              <x v="2"/>
            </reference>
          </references>
        </pivotArea>
        <pivotArea type="data" grandRow="1" outline="0" collapsedLevelsAreSubtotals="1" fieldPosition="0">
          <references count="2">
            <reference field="4294967294" count="1" selected="0">
              <x v="8"/>
            </reference>
            <reference field="32" count="1" selected="0" defaultSubtotal="1">
              <x v="0"/>
            </reference>
          </references>
        </pivotArea>
        <pivotArea type="data" grandRow="1" outline="0" collapsedLevelsAreSubtotals="1" fieldPosition="0">
          <references count="2">
            <reference field="4294967294" count="1" selected="0">
              <x v="8"/>
            </reference>
            <reference field="32" count="1" selected="0" defaultSubtotal="1">
              <x v="1"/>
            </reference>
          </references>
        </pivotArea>
        <pivotArea type="data" grandRow="1" outline="0" collapsedLevelsAreSubtotals="1" fieldPosition="0">
          <references count="2">
            <reference field="4294967294" count="1" selected="0">
              <x v="8"/>
            </reference>
            <reference field="32" count="1" selected="0" defaultSubtotal="1">
              <x v="2"/>
            </reference>
          </references>
        </pivotArea>
        <pivotArea type="data" grandRow="1" outline="0" collapsedLevelsAreSubtotals="1" fieldPosition="0">
          <references count="2">
            <reference field="4294967294" count="1" selected="0">
              <x v="11"/>
            </reference>
            <reference field="32" count="1" selected="0" defaultSubtotal="1">
              <x v="0"/>
            </reference>
          </references>
        </pivotArea>
        <pivotArea type="data" grandRow="1" outline="0" collapsedLevelsAreSubtotals="1" fieldPosition="0">
          <references count="2">
            <reference field="4294967294" count="1" selected="0">
              <x v="11"/>
            </reference>
            <reference field="32" count="1" selected="0" defaultSubtotal="1">
              <x v="1"/>
            </reference>
          </references>
        </pivotArea>
        <pivotArea type="data" grandRow="1" outline="0" collapsedLevelsAreSubtotals="1" fieldPosition="0">
          <references count="2">
            <reference field="4294967294" count="1" selected="0">
              <x v="11"/>
            </reference>
            <reference field="32" count="1" selected="0" defaultSubtotal="1">
              <x v="2"/>
            </reference>
          </references>
        </pivotArea>
        <pivotArea type="data" grandRow="1" outline="0" collapsedLevelsAreSubtotals="1" fieldPosition="0">
          <references count="2">
            <reference field="4294967294" count="1" selected="0">
              <x v="14"/>
            </reference>
            <reference field="32" count="1" selected="0" defaultSubtotal="1">
              <x v="0"/>
            </reference>
          </references>
        </pivotArea>
        <pivotArea type="data" grandRow="1" outline="0" collapsedLevelsAreSubtotals="1" fieldPosition="0">
          <references count="2">
            <reference field="4294967294" count="1" selected="0">
              <x v="14"/>
            </reference>
            <reference field="32" count="1" selected="0" defaultSubtotal="1">
              <x v="1"/>
            </reference>
          </references>
        </pivotArea>
        <pivotArea type="data" grandRow="1" outline="0" collapsedLevelsAreSubtotals="1" fieldPosition="0">
          <references count="2">
            <reference field="4294967294" count="1" selected="0">
              <x v="14"/>
            </reference>
            <reference field="32" count="1" selected="0" defaultSubtotal="1">
              <x v="2"/>
            </reference>
          </references>
        </pivotArea>
        <pivotArea type="data" grandRow="1" outline="0" collapsedLevelsAreSubtotals="1" fieldPosition="0">
          <references count="2">
            <reference field="4294967294" count="1" selected="0">
              <x v="17"/>
            </reference>
            <reference field="32" count="1" selected="0" defaultSubtotal="1">
              <x v="0"/>
            </reference>
          </references>
        </pivotArea>
        <pivotArea type="data" grandRow="1" outline="0" collapsedLevelsAreSubtotals="1" fieldPosition="0">
          <references count="2">
            <reference field="4294967294" count="1" selected="0">
              <x v="17"/>
            </reference>
            <reference field="32" count="1" selected="0" defaultSubtotal="1">
              <x v="1"/>
            </reference>
          </references>
        </pivotArea>
        <pivotArea type="data" grandRow="1" outline="0" collapsedLevelsAreSubtotals="1" fieldPosition="0">
          <references count="2">
            <reference field="4294967294" count="1" selected="0">
              <x v="17"/>
            </reference>
            <reference field="32" count="1" selected="0" defaultSubtotal="1">
              <x v="2"/>
            </reference>
          </references>
        </pivotArea>
        <pivotArea type="data" grandRow="1" outline="0" collapsedLevelsAreSubtotals="1" fieldPosition="0">
          <references count="2">
            <reference field="4294967294" count="1" selected="0">
              <x v="20"/>
            </reference>
            <reference field="32" count="1" selected="0" defaultSubtotal="1">
              <x v="0"/>
            </reference>
          </references>
        </pivotArea>
        <pivotArea type="data" grandRow="1" outline="0" collapsedLevelsAreSubtotals="1" fieldPosition="0">
          <references count="2">
            <reference field="4294967294" count="1" selected="0">
              <x v="20"/>
            </reference>
            <reference field="32" count="1" selected="0" defaultSubtotal="1">
              <x v="1"/>
            </reference>
          </references>
        </pivotArea>
        <pivotArea type="data" grandRow="1" outline="0" collapsedLevelsAreSubtotals="1" fieldPosition="0">
          <references count="2">
            <reference field="4294967294" count="1" selected="0">
              <x v="20"/>
            </reference>
            <reference field="32" count="1" selected="0" defaultSubtotal="1">
              <x v="2"/>
            </reference>
          </references>
        </pivotArea>
        <pivotArea type="data" grandRow="1" outline="0" collapsedLevelsAreSubtotals="1" fieldPosition="0">
          <references count="2">
            <reference field="4294967294" count="1" selected="0">
              <x v="23"/>
            </reference>
            <reference field="32" count="1" selected="0" defaultSubtotal="1">
              <x v="0"/>
            </reference>
          </references>
        </pivotArea>
        <pivotArea type="data" grandRow="1" outline="0" collapsedLevelsAreSubtotals="1" fieldPosition="0">
          <references count="2">
            <reference field="4294967294" count="1" selected="0">
              <x v="23"/>
            </reference>
            <reference field="32" count="1" selected="0" defaultSubtotal="1">
              <x v="1"/>
            </reference>
          </references>
        </pivotArea>
        <pivotArea type="data" grandRow="1" outline="0" collapsedLevelsAreSubtotals="1" fieldPosition="0">
          <references count="2">
            <reference field="4294967294" count="1" selected="0">
              <x v="23"/>
            </reference>
            <reference field="32" count="1" selected="0" defaultSubtotal="1">
              <x v="2"/>
            </reference>
          </references>
        </pivotArea>
        <pivotArea type="data" grandRow="1" outline="0" collapsedLevelsAreSubtotals="1" fieldPosition="0">
          <references count="2">
            <reference field="4294967294" count="1" selected="0">
              <x v="26"/>
            </reference>
            <reference field="32" count="1" selected="0" defaultSubtotal="1">
              <x v="0"/>
            </reference>
          </references>
        </pivotArea>
        <pivotArea type="data" grandRow="1" outline="0" collapsedLevelsAreSubtotals="1" fieldPosition="0">
          <references count="2">
            <reference field="4294967294" count="1" selected="0">
              <x v="26"/>
            </reference>
            <reference field="32" count="1" selected="0" defaultSubtotal="1">
              <x v="1"/>
            </reference>
          </references>
        </pivotArea>
        <pivotArea type="data" grandRow="1" outline="0" collapsedLevelsAreSubtotals="1" fieldPosition="0">
          <references count="2">
            <reference field="4294967294" count="1" selected="0">
              <x v="26"/>
            </reference>
            <reference field="32" count="1" selected="0" defaultSubtotal="1">
              <x v="2"/>
            </reference>
          </references>
        </pivotArea>
        <pivotArea type="data" grandRow="1" outline="0" collapsedLevelsAreSubtotals="1" fieldPosition="0">
          <references count="2">
            <reference field="4294967294" count="1" selected="0">
              <x v="29"/>
            </reference>
            <reference field="32" count="1" selected="0" defaultSubtotal="1">
              <x v="0"/>
            </reference>
          </references>
        </pivotArea>
        <pivotArea type="data" grandRow="1" outline="0" collapsedLevelsAreSubtotals="1" fieldPosition="0">
          <references count="2">
            <reference field="4294967294" count="1" selected="0">
              <x v="29"/>
            </reference>
            <reference field="32" count="1" selected="0" defaultSubtotal="1">
              <x v="1"/>
            </reference>
          </references>
        </pivotArea>
        <pivotArea type="data" grandRow="1" outline="0" collapsedLevelsAreSubtotals="1" fieldPosition="0">
          <references count="2">
            <reference field="4294967294" count="1" selected="0">
              <x v="29"/>
            </reference>
            <reference field="32" count="1" selected="0" defaultSubtotal="1">
              <x v="2"/>
            </reference>
          </references>
        </pivotArea>
        <pivotArea type="data" grandRow="1" outline="0" collapsedLevelsAreSubtotals="1" fieldPosition="0">
          <references count="2">
            <reference field="4294967294" count="1" selected="0">
              <x v="32"/>
            </reference>
            <reference field="32" count="1" selected="0" defaultSubtotal="1">
              <x v="0"/>
            </reference>
          </references>
        </pivotArea>
        <pivotArea type="data" grandRow="1" outline="0" collapsedLevelsAreSubtotals="1" fieldPosition="0">
          <references count="2">
            <reference field="4294967294" count="1" selected="0">
              <x v="32"/>
            </reference>
            <reference field="32" count="1" selected="0" defaultSubtotal="1">
              <x v="1"/>
            </reference>
          </references>
        </pivotArea>
        <pivotArea type="data" grandRow="1" outline="0" collapsedLevelsAreSubtotals="1" fieldPosition="0">
          <references count="2">
            <reference field="4294967294" count="1" selected="0">
              <x v="32"/>
            </reference>
            <reference field="32" count="1" selected="0" defaultSubtotal="1">
              <x v="2"/>
            </reference>
          </references>
        </pivotArea>
      </pivotAreas>
    </conditionalFormat>
    <conditionalFormat priority="857">
      <pivotAreas count="36">
        <pivotArea type="data" grandRow="1" outline="0" collapsedLevelsAreSubtotals="1" fieldPosition="0">
          <references count="2">
            <reference field="4294967294" count="1" selected="0">
              <x v="35"/>
            </reference>
            <reference field="32" count="1" selected="0" defaultSubtotal="1">
              <x v="0"/>
            </reference>
          </references>
        </pivotArea>
        <pivotArea type="data" grandRow="1" outline="0" collapsedLevelsAreSubtotals="1" fieldPosition="0">
          <references count="2">
            <reference field="4294967294" count="1" selected="0">
              <x v="35"/>
            </reference>
            <reference field="32" count="1" selected="0" defaultSubtotal="1">
              <x v="1"/>
            </reference>
          </references>
        </pivotArea>
        <pivotArea type="data" grandRow="1" outline="0" collapsedLevelsAreSubtotals="1" fieldPosition="0">
          <references count="2">
            <reference field="4294967294" count="1" selected="0">
              <x v="35"/>
            </reference>
            <reference field="32" count="1" selected="0" defaultSubtotal="1">
              <x v="2"/>
            </reference>
          </references>
        </pivotArea>
        <pivotArea type="data" grandRow="1" outline="0" collapsedLevelsAreSubtotals="1" fieldPosition="0">
          <references count="2">
            <reference field="4294967294" count="1" selected="0">
              <x v="2"/>
            </reference>
            <reference field="32" count="1" selected="0" defaultSubtotal="1">
              <x v="0"/>
            </reference>
          </references>
        </pivotArea>
        <pivotArea type="data" grandRow="1" outline="0" collapsedLevelsAreSubtotals="1" fieldPosition="0">
          <references count="2">
            <reference field="4294967294" count="1" selected="0">
              <x v="2"/>
            </reference>
            <reference field="32" count="1" selected="0" defaultSubtotal="1">
              <x v="1"/>
            </reference>
          </references>
        </pivotArea>
        <pivotArea type="data" grandRow="1" outline="0" collapsedLevelsAreSubtotals="1" fieldPosition="0">
          <references count="2">
            <reference field="4294967294" count="1" selected="0">
              <x v="2"/>
            </reference>
            <reference field="32" count="1" selected="0" defaultSubtotal="1">
              <x v="2"/>
            </reference>
          </references>
        </pivotArea>
        <pivotArea type="data" grandRow="1" outline="0" collapsedLevelsAreSubtotals="1" fieldPosition="0">
          <references count="2">
            <reference field="4294967294" count="1" selected="0">
              <x v="5"/>
            </reference>
            <reference field="32" count="1" selected="0" defaultSubtotal="1">
              <x v="0"/>
            </reference>
          </references>
        </pivotArea>
        <pivotArea type="data" grandRow="1" outline="0" collapsedLevelsAreSubtotals="1" fieldPosition="0">
          <references count="2">
            <reference field="4294967294" count="1" selected="0">
              <x v="5"/>
            </reference>
            <reference field="32" count="1" selected="0" defaultSubtotal="1">
              <x v="1"/>
            </reference>
          </references>
        </pivotArea>
        <pivotArea type="data" grandRow="1" outline="0" collapsedLevelsAreSubtotals="1" fieldPosition="0">
          <references count="2">
            <reference field="4294967294" count="1" selected="0">
              <x v="5"/>
            </reference>
            <reference field="32" count="1" selected="0" defaultSubtotal="1">
              <x v="2"/>
            </reference>
          </references>
        </pivotArea>
        <pivotArea type="data" grandRow="1" outline="0" collapsedLevelsAreSubtotals="1" fieldPosition="0">
          <references count="2">
            <reference field="4294967294" count="1" selected="0">
              <x v="8"/>
            </reference>
            <reference field="32" count="1" selected="0" defaultSubtotal="1">
              <x v="0"/>
            </reference>
          </references>
        </pivotArea>
        <pivotArea type="data" grandRow="1" outline="0" collapsedLevelsAreSubtotals="1" fieldPosition="0">
          <references count="2">
            <reference field="4294967294" count="1" selected="0">
              <x v="8"/>
            </reference>
            <reference field="32" count="1" selected="0" defaultSubtotal="1">
              <x v="1"/>
            </reference>
          </references>
        </pivotArea>
        <pivotArea type="data" grandRow="1" outline="0" collapsedLevelsAreSubtotals="1" fieldPosition="0">
          <references count="2">
            <reference field="4294967294" count="1" selected="0">
              <x v="8"/>
            </reference>
            <reference field="32" count="1" selected="0" defaultSubtotal="1">
              <x v="2"/>
            </reference>
          </references>
        </pivotArea>
        <pivotArea type="data" grandRow="1" outline="0" collapsedLevelsAreSubtotals="1" fieldPosition="0">
          <references count="2">
            <reference field="4294967294" count="1" selected="0">
              <x v="11"/>
            </reference>
            <reference field="32" count="1" selected="0" defaultSubtotal="1">
              <x v="0"/>
            </reference>
          </references>
        </pivotArea>
        <pivotArea type="data" grandRow="1" outline="0" collapsedLevelsAreSubtotals="1" fieldPosition="0">
          <references count="2">
            <reference field="4294967294" count="1" selected="0">
              <x v="11"/>
            </reference>
            <reference field="32" count="1" selected="0" defaultSubtotal="1">
              <x v="1"/>
            </reference>
          </references>
        </pivotArea>
        <pivotArea type="data" grandRow="1" outline="0" collapsedLevelsAreSubtotals="1" fieldPosition="0">
          <references count="2">
            <reference field="4294967294" count="1" selected="0">
              <x v="11"/>
            </reference>
            <reference field="32" count="1" selected="0" defaultSubtotal="1">
              <x v="2"/>
            </reference>
          </references>
        </pivotArea>
        <pivotArea type="data" grandRow="1" outline="0" collapsedLevelsAreSubtotals="1" fieldPosition="0">
          <references count="2">
            <reference field="4294967294" count="1" selected="0">
              <x v="14"/>
            </reference>
            <reference field="32" count="1" selected="0" defaultSubtotal="1">
              <x v="0"/>
            </reference>
          </references>
        </pivotArea>
        <pivotArea type="data" grandRow="1" outline="0" collapsedLevelsAreSubtotals="1" fieldPosition="0">
          <references count="2">
            <reference field="4294967294" count="1" selected="0">
              <x v="14"/>
            </reference>
            <reference field="32" count="1" selected="0" defaultSubtotal="1">
              <x v="1"/>
            </reference>
          </references>
        </pivotArea>
        <pivotArea type="data" grandRow="1" outline="0" collapsedLevelsAreSubtotals="1" fieldPosition="0">
          <references count="2">
            <reference field="4294967294" count="1" selected="0">
              <x v="14"/>
            </reference>
            <reference field="32" count="1" selected="0" defaultSubtotal="1">
              <x v="2"/>
            </reference>
          </references>
        </pivotArea>
        <pivotArea type="data" grandRow="1" outline="0" collapsedLevelsAreSubtotals="1" fieldPosition="0">
          <references count="2">
            <reference field="4294967294" count="1" selected="0">
              <x v="17"/>
            </reference>
            <reference field="32" count="1" selected="0" defaultSubtotal="1">
              <x v="0"/>
            </reference>
          </references>
        </pivotArea>
        <pivotArea type="data" grandRow="1" outline="0" collapsedLevelsAreSubtotals="1" fieldPosition="0">
          <references count="2">
            <reference field="4294967294" count="1" selected="0">
              <x v="17"/>
            </reference>
            <reference field="32" count="1" selected="0" defaultSubtotal="1">
              <x v="1"/>
            </reference>
          </references>
        </pivotArea>
        <pivotArea type="data" grandRow="1" outline="0" collapsedLevelsAreSubtotals="1" fieldPosition="0">
          <references count="2">
            <reference field="4294967294" count="1" selected="0">
              <x v="17"/>
            </reference>
            <reference field="32" count="1" selected="0" defaultSubtotal="1">
              <x v="2"/>
            </reference>
          </references>
        </pivotArea>
        <pivotArea type="data" grandRow="1" outline="0" collapsedLevelsAreSubtotals="1" fieldPosition="0">
          <references count="2">
            <reference field="4294967294" count="1" selected="0">
              <x v="20"/>
            </reference>
            <reference field="32" count="1" selected="0" defaultSubtotal="1">
              <x v="0"/>
            </reference>
          </references>
        </pivotArea>
        <pivotArea type="data" grandRow="1" outline="0" collapsedLevelsAreSubtotals="1" fieldPosition="0">
          <references count="2">
            <reference field="4294967294" count="1" selected="0">
              <x v="20"/>
            </reference>
            <reference field="32" count="1" selected="0" defaultSubtotal="1">
              <x v="1"/>
            </reference>
          </references>
        </pivotArea>
        <pivotArea type="data" grandRow="1" outline="0" collapsedLevelsAreSubtotals="1" fieldPosition="0">
          <references count="2">
            <reference field="4294967294" count="1" selected="0">
              <x v="20"/>
            </reference>
            <reference field="32" count="1" selected="0" defaultSubtotal="1">
              <x v="2"/>
            </reference>
          </references>
        </pivotArea>
        <pivotArea type="data" grandRow="1" outline="0" collapsedLevelsAreSubtotals="1" fieldPosition="0">
          <references count="2">
            <reference field="4294967294" count="1" selected="0">
              <x v="23"/>
            </reference>
            <reference field="32" count="1" selected="0" defaultSubtotal="1">
              <x v="0"/>
            </reference>
          </references>
        </pivotArea>
        <pivotArea type="data" grandRow="1" outline="0" collapsedLevelsAreSubtotals="1" fieldPosition="0">
          <references count="2">
            <reference field="4294967294" count="1" selected="0">
              <x v="23"/>
            </reference>
            <reference field="32" count="1" selected="0" defaultSubtotal="1">
              <x v="1"/>
            </reference>
          </references>
        </pivotArea>
        <pivotArea type="data" grandRow="1" outline="0" collapsedLevelsAreSubtotals="1" fieldPosition="0">
          <references count="2">
            <reference field="4294967294" count="1" selected="0">
              <x v="23"/>
            </reference>
            <reference field="32" count="1" selected="0" defaultSubtotal="1">
              <x v="2"/>
            </reference>
          </references>
        </pivotArea>
        <pivotArea type="data" grandRow="1" outline="0" collapsedLevelsAreSubtotals="1" fieldPosition="0">
          <references count="2">
            <reference field="4294967294" count="1" selected="0">
              <x v="26"/>
            </reference>
            <reference field="32" count="1" selected="0" defaultSubtotal="1">
              <x v="0"/>
            </reference>
          </references>
        </pivotArea>
        <pivotArea type="data" grandRow="1" outline="0" collapsedLevelsAreSubtotals="1" fieldPosition="0">
          <references count="2">
            <reference field="4294967294" count="1" selected="0">
              <x v="26"/>
            </reference>
            <reference field="32" count="1" selected="0" defaultSubtotal="1">
              <x v="1"/>
            </reference>
          </references>
        </pivotArea>
        <pivotArea type="data" grandRow="1" outline="0" collapsedLevelsAreSubtotals="1" fieldPosition="0">
          <references count="2">
            <reference field="4294967294" count="1" selected="0">
              <x v="26"/>
            </reference>
            <reference field="32" count="1" selected="0" defaultSubtotal="1">
              <x v="2"/>
            </reference>
          </references>
        </pivotArea>
        <pivotArea type="data" grandRow="1" outline="0" collapsedLevelsAreSubtotals="1" fieldPosition="0">
          <references count="2">
            <reference field="4294967294" count="1" selected="0">
              <x v="29"/>
            </reference>
            <reference field="32" count="1" selected="0" defaultSubtotal="1">
              <x v="0"/>
            </reference>
          </references>
        </pivotArea>
        <pivotArea type="data" grandRow="1" outline="0" collapsedLevelsAreSubtotals="1" fieldPosition="0">
          <references count="2">
            <reference field="4294967294" count="1" selected="0">
              <x v="29"/>
            </reference>
            <reference field="32" count="1" selected="0" defaultSubtotal="1">
              <x v="1"/>
            </reference>
          </references>
        </pivotArea>
        <pivotArea type="data" grandRow="1" outline="0" collapsedLevelsAreSubtotals="1" fieldPosition="0">
          <references count="2">
            <reference field="4294967294" count="1" selected="0">
              <x v="29"/>
            </reference>
            <reference field="32" count="1" selected="0" defaultSubtotal="1">
              <x v="2"/>
            </reference>
          </references>
        </pivotArea>
        <pivotArea type="data" grandRow="1" outline="0" collapsedLevelsAreSubtotals="1" fieldPosition="0">
          <references count="2">
            <reference field="4294967294" count="1" selected="0">
              <x v="32"/>
            </reference>
            <reference field="32" count="1" selected="0" defaultSubtotal="1">
              <x v="0"/>
            </reference>
          </references>
        </pivotArea>
        <pivotArea type="data" grandRow="1" outline="0" collapsedLevelsAreSubtotals="1" fieldPosition="0">
          <references count="2">
            <reference field="4294967294" count="1" selected="0">
              <x v="32"/>
            </reference>
            <reference field="32" count="1" selected="0" defaultSubtotal="1">
              <x v="1"/>
            </reference>
          </references>
        </pivotArea>
        <pivotArea type="data" grandRow="1" outline="0" collapsedLevelsAreSubtotals="1" fieldPosition="0">
          <references count="2">
            <reference field="4294967294" count="1" selected="0">
              <x v="32"/>
            </reference>
            <reference field="32" count="1" selected="0" defaultSubtotal="1">
              <x v="2"/>
            </reference>
          </references>
        </pivotArea>
      </pivotAreas>
    </conditionalFormat>
    <conditionalFormat priority="856">
      <pivotAreas count="576">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855">
      <pivotAreas count="576">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853">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51">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49">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47">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45">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43">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41">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39">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37">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35">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34">
      <pivotAreas count="36">
        <pivotArea type="data" grandRow="1" outline="0" collapsedLevelsAreSubtotals="1" fieldPosition="0">
          <references count="2">
            <reference field="4294967294" count="1" selected="0">
              <x v="35"/>
            </reference>
            <reference field="32" count="1" selected="0" defaultSubtotal="1">
              <x v="0"/>
            </reference>
          </references>
        </pivotArea>
        <pivotArea type="data" grandRow="1" outline="0" collapsedLevelsAreSubtotals="1" fieldPosition="0">
          <references count="2">
            <reference field="4294967294" count="1" selected="0">
              <x v="35"/>
            </reference>
            <reference field="32" count="1" selected="0" defaultSubtotal="1">
              <x v="1"/>
            </reference>
          </references>
        </pivotArea>
        <pivotArea type="data" grandRow="1" outline="0" collapsedLevelsAreSubtotals="1" fieldPosition="0">
          <references count="2">
            <reference field="4294967294" count="1" selected="0">
              <x v="35"/>
            </reference>
            <reference field="32" count="1" selected="0" defaultSubtotal="1">
              <x v="2"/>
            </reference>
          </references>
        </pivotArea>
        <pivotArea type="data" grandRow="1" outline="0" collapsedLevelsAreSubtotals="1" fieldPosition="0">
          <references count="2">
            <reference field="4294967294" count="1" selected="0">
              <x v="2"/>
            </reference>
            <reference field="32" count="1" selected="0" defaultSubtotal="1">
              <x v="0"/>
            </reference>
          </references>
        </pivotArea>
        <pivotArea type="data" grandRow="1" outline="0" collapsedLevelsAreSubtotals="1" fieldPosition="0">
          <references count="2">
            <reference field="4294967294" count="1" selected="0">
              <x v="2"/>
            </reference>
            <reference field="32" count="1" selected="0" defaultSubtotal="1">
              <x v="1"/>
            </reference>
          </references>
        </pivotArea>
        <pivotArea type="data" grandRow="1" outline="0" collapsedLevelsAreSubtotals="1" fieldPosition="0">
          <references count="2">
            <reference field="4294967294" count="1" selected="0">
              <x v="2"/>
            </reference>
            <reference field="32" count="1" selected="0" defaultSubtotal="1">
              <x v="2"/>
            </reference>
          </references>
        </pivotArea>
        <pivotArea type="data" grandRow="1" outline="0" collapsedLevelsAreSubtotals="1" fieldPosition="0">
          <references count="2">
            <reference field="4294967294" count="1" selected="0">
              <x v="5"/>
            </reference>
            <reference field="32" count="1" selected="0" defaultSubtotal="1">
              <x v="0"/>
            </reference>
          </references>
        </pivotArea>
        <pivotArea type="data" grandRow="1" outline="0" collapsedLevelsAreSubtotals="1" fieldPosition="0">
          <references count="2">
            <reference field="4294967294" count="1" selected="0">
              <x v="5"/>
            </reference>
            <reference field="32" count="1" selected="0" defaultSubtotal="1">
              <x v="1"/>
            </reference>
          </references>
        </pivotArea>
        <pivotArea type="data" grandRow="1" outline="0" collapsedLevelsAreSubtotals="1" fieldPosition="0">
          <references count="2">
            <reference field="4294967294" count="1" selected="0">
              <x v="5"/>
            </reference>
            <reference field="32" count="1" selected="0" defaultSubtotal="1">
              <x v="2"/>
            </reference>
          </references>
        </pivotArea>
        <pivotArea type="data" grandRow="1" outline="0" collapsedLevelsAreSubtotals="1" fieldPosition="0">
          <references count="2">
            <reference field="4294967294" count="1" selected="0">
              <x v="8"/>
            </reference>
            <reference field="32" count="1" selected="0" defaultSubtotal="1">
              <x v="0"/>
            </reference>
          </references>
        </pivotArea>
        <pivotArea type="data" grandRow="1" outline="0" collapsedLevelsAreSubtotals="1" fieldPosition="0">
          <references count="2">
            <reference field="4294967294" count="1" selected="0">
              <x v="8"/>
            </reference>
            <reference field="32" count="1" selected="0" defaultSubtotal="1">
              <x v="1"/>
            </reference>
          </references>
        </pivotArea>
        <pivotArea type="data" grandRow="1" outline="0" collapsedLevelsAreSubtotals="1" fieldPosition="0">
          <references count="2">
            <reference field="4294967294" count="1" selected="0">
              <x v="8"/>
            </reference>
            <reference field="32" count="1" selected="0" defaultSubtotal="1">
              <x v="2"/>
            </reference>
          </references>
        </pivotArea>
        <pivotArea type="data" grandRow="1" outline="0" collapsedLevelsAreSubtotals="1" fieldPosition="0">
          <references count="2">
            <reference field="4294967294" count="1" selected="0">
              <x v="11"/>
            </reference>
            <reference field="32" count="1" selected="0" defaultSubtotal="1">
              <x v="0"/>
            </reference>
          </references>
        </pivotArea>
        <pivotArea type="data" grandRow="1" outline="0" collapsedLevelsAreSubtotals="1" fieldPosition="0">
          <references count="2">
            <reference field="4294967294" count="1" selected="0">
              <x v="11"/>
            </reference>
            <reference field="32" count="1" selected="0" defaultSubtotal="1">
              <x v="1"/>
            </reference>
          </references>
        </pivotArea>
        <pivotArea type="data" grandRow="1" outline="0" collapsedLevelsAreSubtotals="1" fieldPosition="0">
          <references count="2">
            <reference field="4294967294" count="1" selected="0">
              <x v="11"/>
            </reference>
            <reference field="32" count="1" selected="0" defaultSubtotal="1">
              <x v="2"/>
            </reference>
          </references>
        </pivotArea>
        <pivotArea type="data" grandRow="1" outline="0" collapsedLevelsAreSubtotals="1" fieldPosition="0">
          <references count="2">
            <reference field="4294967294" count="1" selected="0">
              <x v="14"/>
            </reference>
            <reference field="32" count="1" selected="0" defaultSubtotal="1">
              <x v="0"/>
            </reference>
          </references>
        </pivotArea>
        <pivotArea type="data" grandRow="1" outline="0" collapsedLevelsAreSubtotals="1" fieldPosition="0">
          <references count="2">
            <reference field="4294967294" count="1" selected="0">
              <x v="14"/>
            </reference>
            <reference field="32" count="1" selected="0" defaultSubtotal="1">
              <x v="1"/>
            </reference>
          </references>
        </pivotArea>
        <pivotArea type="data" grandRow="1" outline="0" collapsedLevelsAreSubtotals="1" fieldPosition="0">
          <references count="2">
            <reference field="4294967294" count="1" selected="0">
              <x v="14"/>
            </reference>
            <reference field="32" count="1" selected="0" defaultSubtotal="1">
              <x v="2"/>
            </reference>
          </references>
        </pivotArea>
        <pivotArea type="data" grandRow="1" outline="0" collapsedLevelsAreSubtotals="1" fieldPosition="0">
          <references count="2">
            <reference field="4294967294" count="1" selected="0">
              <x v="17"/>
            </reference>
            <reference field="32" count="1" selected="0" defaultSubtotal="1">
              <x v="0"/>
            </reference>
          </references>
        </pivotArea>
        <pivotArea type="data" grandRow="1" outline="0" collapsedLevelsAreSubtotals="1" fieldPosition="0">
          <references count="2">
            <reference field="4294967294" count="1" selected="0">
              <x v="17"/>
            </reference>
            <reference field="32" count="1" selected="0" defaultSubtotal="1">
              <x v="1"/>
            </reference>
          </references>
        </pivotArea>
        <pivotArea type="data" grandRow="1" outline="0" collapsedLevelsAreSubtotals="1" fieldPosition="0">
          <references count="2">
            <reference field="4294967294" count="1" selected="0">
              <x v="17"/>
            </reference>
            <reference field="32" count="1" selected="0" defaultSubtotal="1">
              <x v="2"/>
            </reference>
          </references>
        </pivotArea>
        <pivotArea type="data" grandRow="1" outline="0" collapsedLevelsAreSubtotals="1" fieldPosition="0">
          <references count="2">
            <reference field="4294967294" count="1" selected="0">
              <x v="20"/>
            </reference>
            <reference field="32" count="1" selected="0" defaultSubtotal="1">
              <x v="0"/>
            </reference>
          </references>
        </pivotArea>
        <pivotArea type="data" grandRow="1" outline="0" collapsedLevelsAreSubtotals="1" fieldPosition="0">
          <references count="2">
            <reference field="4294967294" count="1" selected="0">
              <x v="20"/>
            </reference>
            <reference field="32" count="1" selected="0" defaultSubtotal="1">
              <x v="1"/>
            </reference>
          </references>
        </pivotArea>
        <pivotArea type="data" grandRow="1" outline="0" collapsedLevelsAreSubtotals="1" fieldPosition="0">
          <references count="2">
            <reference field="4294967294" count="1" selected="0">
              <x v="20"/>
            </reference>
            <reference field="32" count="1" selected="0" defaultSubtotal="1">
              <x v="2"/>
            </reference>
          </references>
        </pivotArea>
        <pivotArea type="data" grandRow="1" outline="0" collapsedLevelsAreSubtotals="1" fieldPosition="0">
          <references count="2">
            <reference field="4294967294" count="1" selected="0">
              <x v="23"/>
            </reference>
            <reference field="32" count="1" selected="0" defaultSubtotal="1">
              <x v="0"/>
            </reference>
          </references>
        </pivotArea>
        <pivotArea type="data" grandRow="1" outline="0" collapsedLevelsAreSubtotals="1" fieldPosition="0">
          <references count="2">
            <reference field="4294967294" count="1" selected="0">
              <x v="23"/>
            </reference>
            <reference field="32" count="1" selected="0" defaultSubtotal="1">
              <x v="1"/>
            </reference>
          </references>
        </pivotArea>
        <pivotArea type="data" grandRow="1" outline="0" collapsedLevelsAreSubtotals="1" fieldPosition="0">
          <references count="2">
            <reference field="4294967294" count="1" selected="0">
              <x v="23"/>
            </reference>
            <reference field="32" count="1" selected="0" defaultSubtotal="1">
              <x v="2"/>
            </reference>
          </references>
        </pivotArea>
        <pivotArea type="data" grandRow="1" outline="0" collapsedLevelsAreSubtotals="1" fieldPosition="0">
          <references count="2">
            <reference field="4294967294" count="1" selected="0">
              <x v="26"/>
            </reference>
            <reference field="32" count="1" selected="0" defaultSubtotal="1">
              <x v="0"/>
            </reference>
          </references>
        </pivotArea>
        <pivotArea type="data" grandRow="1" outline="0" collapsedLevelsAreSubtotals="1" fieldPosition="0">
          <references count="2">
            <reference field="4294967294" count="1" selected="0">
              <x v="26"/>
            </reference>
            <reference field="32" count="1" selected="0" defaultSubtotal="1">
              <x v="1"/>
            </reference>
          </references>
        </pivotArea>
        <pivotArea type="data" grandRow="1" outline="0" collapsedLevelsAreSubtotals="1" fieldPosition="0">
          <references count="2">
            <reference field="4294967294" count="1" selected="0">
              <x v="26"/>
            </reference>
            <reference field="32" count="1" selected="0" defaultSubtotal="1">
              <x v="2"/>
            </reference>
          </references>
        </pivotArea>
        <pivotArea type="data" grandRow="1" outline="0" collapsedLevelsAreSubtotals="1" fieldPosition="0">
          <references count="2">
            <reference field="4294967294" count="1" selected="0">
              <x v="29"/>
            </reference>
            <reference field="32" count="1" selected="0" defaultSubtotal="1">
              <x v="0"/>
            </reference>
          </references>
        </pivotArea>
        <pivotArea type="data" grandRow="1" outline="0" collapsedLevelsAreSubtotals="1" fieldPosition="0">
          <references count="2">
            <reference field="4294967294" count="1" selected="0">
              <x v="29"/>
            </reference>
            <reference field="32" count="1" selected="0" defaultSubtotal="1">
              <x v="1"/>
            </reference>
          </references>
        </pivotArea>
        <pivotArea type="data" grandRow="1" outline="0" collapsedLevelsAreSubtotals="1" fieldPosition="0">
          <references count="2">
            <reference field="4294967294" count="1" selected="0">
              <x v="29"/>
            </reference>
            <reference field="32" count="1" selected="0" defaultSubtotal="1">
              <x v="2"/>
            </reference>
          </references>
        </pivotArea>
        <pivotArea type="data" grandRow="1" outline="0" collapsedLevelsAreSubtotals="1" fieldPosition="0">
          <references count="2">
            <reference field="4294967294" count="1" selected="0">
              <x v="32"/>
            </reference>
            <reference field="32" count="1" selected="0" defaultSubtotal="1">
              <x v="0"/>
            </reference>
          </references>
        </pivotArea>
        <pivotArea type="data" grandRow="1" outline="0" collapsedLevelsAreSubtotals="1" fieldPosition="0">
          <references count="2">
            <reference field="4294967294" count="1" selected="0">
              <x v="32"/>
            </reference>
            <reference field="32" count="1" selected="0" defaultSubtotal="1">
              <x v="1"/>
            </reference>
          </references>
        </pivotArea>
        <pivotArea type="data" grandRow="1" outline="0" collapsedLevelsAreSubtotals="1" fieldPosition="0">
          <references count="2">
            <reference field="4294967294" count="1" selected="0">
              <x v="32"/>
            </reference>
            <reference field="32" count="1" selected="0" defaultSubtotal="1">
              <x v="2"/>
            </reference>
          </references>
        </pivotArea>
      </pivotAreas>
    </conditionalFormat>
    <conditionalFormat priority="833">
      <pivotAreas count="36">
        <pivotArea type="data" grandRow="1" outline="0" collapsedLevelsAreSubtotals="1" fieldPosition="0">
          <references count="2">
            <reference field="4294967294" count="1" selected="0">
              <x v="35"/>
            </reference>
            <reference field="32" count="1" selected="0" defaultSubtotal="1">
              <x v="0"/>
            </reference>
          </references>
        </pivotArea>
        <pivotArea type="data" grandRow="1" outline="0" collapsedLevelsAreSubtotals="1" fieldPosition="0">
          <references count="2">
            <reference field="4294967294" count="1" selected="0">
              <x v="35"/>
            </reference>
            <reference field="32" count="1" selected="0" defaultSubtotal="1">
              <x v="1"/>
            </reference>
          </references>
        </pivotArea>
        <pivotArea type="data" grandRow="1" outline="0" collapsedLevelsAreSubtotals="1" fieldPosition="0">
          <references count="2">
            <reference field="4294967294" count="1" selected="0">
              <x v="35"/>
            </reference>
            <reference field="32" count="1" selected="0" defaultSubtotal="1">
              <x v="2"/>
            </reference>
          </references>
        </pivotArea>
        <pivotArea type="data" grandRow="1" outline="0" collapsedLevelsAreSubtotals="1" fieldPosition="0">
          <references count="2">
            <reference field="4294967294" count="1" selected="0">
              <x v="2"/>
            </reference>
            <reference field="32" count="1" selected="0" defaultSubtotal="1">
              <x v="0"/>
            </reference>
          </references>
        </pivotArea>
        <pivotArea type="data" grandRow="1" outline="0" collapsedLevelsAreSubtotals="1" fieldPosition="0">
          <references count="2">
            <reference field="4294967294" count="1" selected="0">
              <x v="2"/>
            </reference>
            <reference field="32" count="1" selected="0" defaultSubtotal="1">
              <x v="1"/>
            </reference>
          </references>
        </pivotArea>
        <pivotArea type="data" grandRow="1" outline="0" collapsedLevelsAreSubtotals="1" fieldPosition="0">
          <references count="2">
            <reference field="4294967294" count="1" selected="0">
              <x v="2"/>
            </reference>
            <reference field="32" count="1" selected="0" defaultSubtotal="1">
              <x v="2"/>
            </reference>
          </references>
        </pivotArea>
        <pivotArea type="data" grandRow="1" outline="0" collapsedLevelsAreSubtotals="1" fieldPosition="0">
          <references count="2">
            <reference field="4294967294" count="1" selected="0">
              <x v="5"/>
            </reference>
            <reference field="32" count="1" selected="0" defaultSubtotal="1">
              <x v="0"/>
            </reference>
          </references>
        </pivotArea>
        <pivotArea type="data" grandRow="1" outline="0" collapsedLevelsAreSubtotals="1" fieldPosition="0">
          <references count="2">
            <reference field="4294967294" count="1" selected="0">
              <x v="5"/>
            </reference>
            <reference field="32" count="1" selected="0" defaultSubtotal="1">
              <x v="1"/>
            </reference>
          </references>
        </pivotArea>
        <pivotArea type="data" grandRow="1" outline="0" collapsedLevelsAreSubtotals="1" fieldPosition="0">
          <references count="2">
            <reference field="4294967294" count="1" selected="0">
              <x v="5"/>
            </reference>
            <reference field="32" count="1" selected="0" defaultSubtotal="1">
              <x v="2"/>
            </reference>
          </references>
        </pivotArea>
        <pivotArea type="data" grandRow="1" outline="0" collapsedLevelsAreSubtotals="1" fieldPosition="0">
          <references count="2">
            <reference field="4294967294" count="1" selected="0">
              <x v="8"/>
            </reference>
            <reference field="32" count="1" selected="0" defaultSubtotal="1">
              <x v="0"/>
            </reference>
          </references>
        </pivotArea>
        <pivotArea type="data" grandRow="1" outline="0" collapsedLevelsAreSubtotals="1" fieldPosition="0">
          <references count="2">
            <reference field="4294967294" count="1" selected="0">
              <x v="8"/>
            </reference>
            <reference field="32" count="1" selected="0" defaultSubtotal="1">
              <x v="1"/>
            </reference>
          </references>
        </pivotArea>
        <pivotArea type="data" grandRow="1" outline="0" collapsedLevelsAreSubtotals="1" fieldPosition="0">
          <references count="2">
            <reference field="4294967294" count="1" selected="0">
              <x v="8"/>
            </reference>
            <reference field="32" count="1" selected="0" defaultSubtotal="1">
              <x v="2"/>
            </reference>
          </references>
        </pivotArea>
        <pivotArea type="data" grandRow="1" outline="0" collapsedLevelsAreSubtotals="1" fieldPosition="0">
          <references count="2">
            <reference field="4294967294" count="1" selected="0">
              <x v="11"/>
            </reference>
            <reference field="32" count="1" selected="0" defaultSubtotal="1">
              <x v="0"/>
            </reference>
          </references>
        </pivotArea>
        <pivotArea type="data" grandRow="1" outline="0" collapsedLevelsAreSubtotals="1" fieldPosition="0">
          <references count="2">
            <reference field="4294967294" count="1" selected="0">
              <x v="11"/>
            </reference>
            <reference field="32" count="1" selected="0" defaultSubtotal="1">
              <x v="1"/>
            </reference>
          </references>
        </pivotArea>
        <pivotArea type="data" grandRow="1" outline="0" collapsedLevelsAreSubtotals="1" fieldPosition="0">
          <references count="2">
            <reference field="4294967294" count="1" selected="0">
              <x v="11"/>
            </reference>
            <reference field="32" count="1" selected="0" defaultSubtotal="1">
              <x v="2"/>
            </reference>
          </references>
        </pivotArea>
        <pivotArea type="data" grandRow="1" outline="0" collapsedLevelsAreSubtotals="1" fieldPosition="0">
          <references count="2">
            <reference field="4294967294" count="1" selected="0">
              <x v="14"/>
            </reference>
            <reference field="32" count="1" selected="0" defaultSubtotal="1">
              <x v="0"/>
            </reference>
          </references>
        </pivotArea>
        <pivotArea type="data" grandRow="1" outline="0" collapsedLevelsAreSubtotals="1" fieldPosition="0">
          <references count="2">
            <reference field="4294967294" count="1" selected="0">
              <x v="14"/>
            </reference>
            <reference field="32" count="1" selected="0" defaultSubtotal="1">
              <x v="1"/>
            </reference>
          </references>
        </pivotArea>
        <pivotArea type="data" grandRow="1" outline="0" collapsedLevelsAreSubtotals="1" fieldPosition="0">
          <references count="2">
            <reference field="4294967294" count="1" selected="0">
              <x v="14"/>
            </reference>
            <reference field="32" count="1" selected="0" defaultSubtotal="1">
              <x v="2"/>
            </reference>
          </references>
        </pivotArea>
        <pivotArea type="data" grandRow="1" outline="0" collapsedLevelsAreSubtotals="1" fieldPosition="0">
          <references count="2">
            <reference field="4294967294" count="1" selected="0">
              <x v="17"/>
            </reference>
            <reference field="32" count="1" selected="0" defaultSubtotal="1">
              <x v="0"/>
            </reference>
          </references>
        </pivotArea>
        <pivotArea type="data" grandRow="1" outline="0" collapsedLevelsAreSubtotals="1" fieldPosition="0">
          <references count="2">
            <reference field="4294967294" count="1" selected="0">
              <x v="17"/>
            </reference>
            <reference field="32" count="1" selected="0" defaultSubtotal="1">
              <x v="1"/>
            </reference>
          </references>
        </pivotArea>
        <pivotArea type="data" grandRow="1" outline="0" collapsedLevelsAreSubtotals="1" fieldPosition="0">
          <references count="2">
            <reference field="4294967294" count="1" selected="0">
              <x v="17"/>
            </reference>
            <reference field="32" count="1" selected="0" defaultSubtotal="1">
              <x v="2"/>
            </reference>
          </references>
        </pivotArea>
        <pivotArea type="data" grandRow="1" outline="0" collapsedLevelsAreSubtotals="1" fieldPosition="0">
          <references count="2">
            <reference field="4294967294" count="1" selected="0">
              <x v="20"/>
            </reference>
            <reference field="32" count="1" selected="0" defaultSubtotal="1">
              <x v="0"/>
            </reference>
          </references>
        </pivotArea>
        <pivotArea type="data" grandRow="1" outline="0" collapsedLevelsAreSubtotals="1" fieldPosition="0">
          <references count="2">
            <reference field="4294967294" count="1" selected="0">
              <x v="20"/>
            </reference>
            <reference field="32" count="1" selected="0" defaultSubtotal="1">
              <x v="1"/>
            </reference>
          </references>
        </pivotArea>
        <pivotArea type="data" grandRow="1" outline="0" collapsedLevelsAreSubtotals="1" fieldPosition="0">
          <references count="2">
            <reference field="4294967294" count="1" selected="0">
              <x v="20"/>
            </reference>
            <reference field="32" count="1" selected="0" defaultSubtotal="1">
              <x v="2"/>
            </reference>
          </references>
        </pivotArea>
        <pivotArea type="data" grandRow="1" outline="0" collapsedLevelsAreSubtotals="1" fieldPosition="0">
          <references count="2">
            <reference field="4294967294" count="1" selected="0">
              <x v="23"/>
            </reference>
            <reference field="32" count="1" selected="0" defaultSubtotal="1">
              <x v="0"/>
            </reference>
          </references>
        </pivotArea>
        <pivotArea type="data" grandRow="1" outline="0" collapsedLevelsAreSubtotals="1" fieldPosition="0">
          <references count="2">
            <reference field="4294967294" count="1" selected="0">
              <x v="23"/>
            </reference>
            <reference field="32" count="1" selected="0" defaultSubtotal="1">
              <x v="1"/>
            </reference>
          </references>
        </pivotArea>
        <pivotArea type="data" grandRow="1" outline="0" collapsedLevelsAreSubtotals="1" fieldPosition="0">
          <references count="2">
            <reference field="4294967294" count="1" selected="0">
              <x v="23"/>
            </reference>
            <reference field="32" count="1" selected="0" defaultSubtotal="1">
              <x v="2"/>
            </reference>
          </references>
        </pivotArea>
        <pivotArea type="data" grandRow="1" outline="0" collapsedLevelsAreSubtotals="1" fieldPosition="0">
          <references count="2">
            <reference field="4294967294" count="1" selected="0">
              <x v="26"/>
            </reference>
            <reference field="32" count="1" selected="0" defaultSubtotal="1">
              <x v="0"/>
            </reference>
          </references>
        </pivotArea>
        <pivotArea type="data" grandRow="1" outline="0" collapsedLevelsAreSubtotals="1" fieldPosition="0">
          <references count="2">
            <reference field="4294967294" count="1" selected="0">
              <x v="26"/>
            </reference>
            <reference field="32" count="1" selected="0" defaultSubtotal="1">
              <x v="1"/>
            </reference>
          </references>
        </pivotArea>
        <pivotArea type="data" grandRow="1" outline="0" collapsedLevelsAreSubtotals="1" fieldPosition="0">
          <references count="2">
            <reference field="4294967294" count="1" selected="0">
              <x v="26"/>
            </reference>
            <reference field="32" count="1" selected="0" defaultSubtotal="1">
              <x v="2"/>
            </reference>
          </references>
        </pivotArea>
        <pivotArea type="data" grandRow="1" outline="0" collapsedLevelsAreSubtotals="1" fieldPosition="0">
          <references count="2">
            <reference field="4294967294" count="1" selected="0">
              <x v="29"/>
            </reference>
            <reference field="32" count="1" selected="0" defaultSubtotal="1">
              <x v="0"/>
            </reference>
          </references>
        </pivotArea>
        <pivotArea type="data" grandRow="1" outline="0" collapsedLevelsAreSubtotals="1" fieldPosition="0">
          <references count="2">
            <reference field="4294967294" count="1" selected="0">
              <x v="29"/>
            </reference>
            <reference field="32" count="1" selected="0" defaultSubtotal="1">
              <x v="1"/>
            </reference>
          </references>
        </pivotArea>
        <pivotArea type="data" grandRow="1" outline="0" collapsedLevelsAreSubtotals="1" fieldPosition="0">
          <references count="2">
            <reference field="4294967294" count="1" selected="0">
              <x v="29"/>
            </reference>
            <reference field="32" count="1" selected="0" defaultSubtotal="1">
              <x v="2"/>
            </reference>
          </references>
        </pivotArea>
        <pivotArea type="data" grandRow="1" outline="0" collapsedLevelsAreSubtotals="1" fieldPosition="0">
          <references count="2">
            <reference field="4294967294" count="1" selected="0">
              <x v="32"/>
            </reference>
            <reference field="32" count="1" selected="0" defaultSubtotal="1">
              <x v="0"/>
            </reference>
          </references>
        </pivotArea>
        <pivotArea type="data" grandRow="1" outline="0" collapsedLevelsAreSubtotals="1" fieldPosition="0">
          <references count="2">
            <reference field="4294967294" count="1" selected="0">
              <x v="32"/>
            </reference>
            <reference field="32" count="1" selected="0" defaultSubtotal="1">
              <x v="1"/>
            </reference>
          </references>
        </pivotArea>
        <pivotArea type="data" grandRow="1" outline="0" collapsedLevelsAreSubtotals="1" fieldPosition="0">
          <references count="2">
            <reference field="4294967294" count="1" selected="0">
              <x v="32"/>
            </reference>
            <reference field="32" count="1" selected="0" defaultSubtotal="1">
              <x v="2"/>
            </reference>
          </references>
        </pivotArea>
      </pivotAreas>
    </conditionalFormat>
    <conditionalFormat priority="832">
      <pivotAreas count="576">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831">
      <pivotAreas count="576">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829">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27">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25">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23">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21">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19">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17">
      <pivotAreas count="12">
        <pivotArea type="data" grandRow="1" outline="0" collapsedLevelsAreSubtotals="1" fieldPosition="0">
          <references count="1">
            <reference field="4294967294" count="1" selected="0">
              <x v="35"/>
            </reference>
          </references>
        </pivotArea>
        <pivotArea type="data" grandRow="1" outline="0" collapsedLevelsAreSubtotals="1" fieldPosition="0">
          <references count="1">
            <reference field="4294967294" count="1" selected="0">
              <x v="2"/>
            </reference>
          </references>
        </pivotArea>
        <pivotArea type="data" grandRow="1" outline="0" collapsedLevelsAreSubtotals="1" fieldPosition="0">
          <references count="1">
            <reference field="4294967294" count="1" selected="0">
              <x v="5"/>
            </reference>
          </references>
        </pivotArea>
        <pivotArea type="data" grandRow="1" outline="0" collapsedLevelsAreSubtotals="1" fieldPosition="0">
          <references count="1">
            <reference field="4294967294" count="1" selected="0">
              <x v="8"/>
            </reference>
          </references>
        </pivotArea>
        <pivotArea type="data" grandRow="1" outline="0" collapsedLevelsAreSubtotals="1" fieldPosition="0">
          <references count="1">
            <reference field="4294967294" count="1" selected="0">
              <x v="11"/>
            </reference>
          </references>
        </pivotArea>
        <pivotArea type="data" grandRow="1" outline="0" collapsedLevelsAreSubtotals="1" fieldPosition="0">
          <references count="1">
            <reference field="4294967294" count="1" selected="0">
              <x v="14"/>
            </reference>
          </references>
        </pivotArea>
        <pivotArea type="data" grandRow="1" outline="0" collapsedLevelsAreSubtotals="1" fieldPosition="0">
          <references count="1">
            <reference field="4294967294" count="1" selected="0">
              <x v="17"/>
            </reference>
          </references>
        </pivotArea>
        <pivotArea type="data" grandRow="1" outline="0" collapsedLevelsAreSubtotals="1" fieldPosition="0">
          <references count="1">
            <reference field="4294967294" count="1" selected="0">
              <x v="20"/>
            </reference>
          </references>
        </pivotArea>
        <pivotArea type="data" grandRow="1" outline="0" collapsedLevelsAreSubtotals="1" fieldPosition="0">
          <references count="1">
            <reference field="4294967294" count="1" selected="0">
              <x v="23"/>
            </reference>
          </references>
        </pivotArea>
        <pivotArea type="data" grandRow="1" outline="0" collapsedLevelsAreSubtotals="1" fieldPosition="0">
          <references count="1">
            <reference field="4294967294" count="1" selected="0">
              <x v="26"/>
            </reference>
          </references>
        </pivotArea>
        <pivotArea type="data" grandRow="1" outline="0" collapsedLevelsAreSubtotals="1" fieldPosition="0">
          <references count="1">
            <reference field="4294967294" count="1" selected="0">
              <x v="29"/>
            </reference>
          </references>
        </pivotArea>
        <pivotArea type="data" grandRow="1" outline="0" collapsedLevelsAreSubtotals="1" fieldPosition="0">
          <references count="1">
            <reference field="4294967294" count="1" selected="0">
              <x v="32"/>
            </reference>
          </references>
        </pivotArea>
      </pivotAreas>
    </conditionalFormat>
    <conditionalFormat priority="815">
      <pivotAreas count="192">
        <pivotArea type="data" outline="0" collapsedLevelsAreSubtotals="1" fieldPosition="0">
          <references count="2">
            <reference field="4294967294" count="1" selected="0">
              <x v="2"/>
            </reference>
            <reference field="0" count="1" selected="0">
              <x v="0"/>
            </reference>
          </references>
        </pivotArea>
        <pivotArea type="data" outline="0" collapsedLevelsAreSubtotals="1" fieldPosition="0">
          <references count="2">
            <reference field="4294967294" count="1" selected="0">
              <x v="5"/>
            </reference>
            <reference field="0" count="1" selected="0">
              <x v="0"/>
            </reference>
          </references>
        </pivotArea>
        <pivotArea type="data" outline="0" collapsedLevelsAreSubtotals="1" fieldPosition="0">
          <references count="2">
            <reference field="4294967294" count="1" selected="0">
              <x v="8"/>
            </reference>
            <reference field="0" count="1" selected="0">
              <x v="0"/>
            </reference>
          </references>
        </pivotArea>
        <pivotArea type="data" outline="0" collapsedLevelsAreSubtotals="1" fieldPosition="0">
          <references count="2">
            <reference field="4294967294" count="1" selected="0">
              <x v="11"/>
            </reference>
            <reference field="0" count="1" selected="0">
              <x v="0"/>
            </reference>
          </references>
        </pivotArea>
        <pivotArea type="data" outline="0" collapsedLevelsAreSubtotals="1" fieldPosition="0">
          <references count="2">
            <reference field="4294967294" count="1" selected="0">
              <x v="14"/>
            </reference>
            <reference field="0" count="1" selected="0">
              <x v="0"/>
            </reference>
          </references>
        </pivotArea>
        <pivotArea type="data" outline="0" collapsedLevelsAreSubtotals="1" fieldPosition="0">
          <references count="2">
            <reference field="4294967294" count="1" selected="0">
              <x v="17"/>
            </reference>
            <reference field="0" count="1" selected="0">
              <x v="0"/>
            </reference>
          </references>
        </pivotArea>
        <pivotArea type="data" outline="0" collapsedLevelsAreSubtotals="1" fieldPosition="0">
          <references count="2">
            <reference field="4294967294" count="1" selected="0">
              <x v="20"/>
            </reference>
            <reference field="0" count="1" selected="0">
              <x v="0"/>
            </reference>
          </references>
        </pivotArea>
        <pivotArea type="data" outline="0" collapsedLevelsAreSubtotals="1" fieldPosition="0">
          <references count="2">
            <reference field="4294967294" count="1" selected="0">
              <x v="23"/>
            </reference>
            <reference field="0" count="1" selected="0">
              <x v="0"/>
            </reference>
          </references>
        </pivotArea>
        <pivotArea type="data" outline="0" collapsedLevelsAreSubtotals="1" fieldPosition="0">
          <references count="2">
            <reference field="4294967294" count="1" selected="0">
              <x v="26"/>
            </reference>
            <reference field="0" count="1" selected="0">
              <x v="0"/>
            </reference>
          </references>
        </pivotArea>
        <pivotArea type="data" outline="0" collapsedLevelsAreSubtotals="1" fieldPosition="0">
          <references count="2">
            <reference field="4294967294" count="1" selected="0">
              <x v="29"/>
            </reference>
            <reference field="0" count="1" selected="0">
              <x v="0"/>
            </reference>
          </references>
        </pivotArea>
        <pivotArea type="data" outline="0" collapsedLevelsAreSubtotals="1" fieldPosition="0">
          <references count="2">
            <reference field="4294967294" count="1" selected="0">
              <x v="32"/>
            </reference>
            <reference field="0" count="1" selected="0">
              <x v="0"/>
            </reference>
          </references>
        </pivotArea>
        <pivotArea type="data" outline="0" collapsedLevelsAreSubtotals="1" fieldPosition="0">
          <references count="2">
            <reference field="4294967294" count="1" selected="0">
              <x v="35"/>
            </reference>
            <reference field="0" count="1" selected="0">
              <x v="0"/>
            </reference>
          </references>
        </pivotArea>
        <pivotArea type="data" outline="0" collapsedLevelsAreSubtotals="1" fieldPosition="0">
          <references count="2">
            <reference field="4294967294" count="1" selected="0">
              <x v="2"/>
            </reference>
            <reference field="0" count="1" selected="0">
              <x v="1"/>
            </reference>
          </references>
        </pivotArea>
        <pivotArea type="data" outline="0" collapsedLevelsAreSubtotals="1" fieldPosition="0">
          <references count="2">
            <reference field="4294967294" count="1" selected="0">
              <x v="5"/>
            </reference>
            <reference field="0" count="1" selected="0">
              <x v="1"/>
            </reference>
          </references>
        </pivotArea>
        <pivotArea type="data" outline="0" collapsedLevelsAreSubtotals="1" fieldPosition="0">
          <references count="2">
            <reference field="4294967294" count="1" selected="0">
              <x v="8"/>
            </reference>
            <reference field="0" count="1" selected="0">
              <x v="1"/>
            </reference>
          </references>
        </pivotArea>
        <pivotArea type="data" outline="0" collapsedLevelsAreSubtotals="1" fieldPosition="0">
          <references count="2">
            <reference field="4294967294" count="1" selected="0">
              <x v="11"/>
            </reference>
            <reference field="0" count="1" selected="0">
              <x v="1"/>
            </reference>
          </references>
        </pivotArea>
        <pivotArea type="data" outline="0" collapsedLevelsAreSubtotals="1" fieldPosition="0">
          <references count="2">
            <reference field="4294967294" count="1" selected="0">
              <x v="14"/>
            </reference>
            <reference field="0" count="1" selected="0">
              <x v="1"/>
            </reference>
          </references>
        </pivotArea>
        <pivotArea type="data" outline="0" collapsedLevelsAreSubtotals="1" fieldPosition="0">
          <references count="2">
            <reference field="4294967294" count="1" selected="0">
              <x v="17"/>
            </reference>
            <reference field="0" count="1" selected="0">
              <x v="1"/>
            </reference>
          </references>
        </pivotArea>
        <pivotArea type="data" outline="0" collapsedLevelsAreSubtotals="1" fieldPosition="0">
          <references count="2">
            <reference field="4294967294" count="1" selected="0">
              <x v="20"/>
            </reference>
            <reference field="0" count="1" selected="0">
              <x v="1"/>
            </reference>
          </references>
        </pivotArea>
        <pivotArea type="data" outline="0" collapsedLevelsAreSubtotals="1" fieldPosition="0">
          <references count="2">
            <reference field="4294967294" count="1" selected="0">
              <x v="23"/>
            </reference>
            <reference field="0" count="1" selected="0">
              <x v="1"/>
            </reference>
          </references>
        </pivotArea>
        <pivotArea type="data" outline="0" collapsedLevelsAreSubtotals="1" fieldPosition="0">
          <references count="2">
            <reference field="4294967294" count="1" selected="0">
              <x v="26"/>
            </reference>
            <reference field="0" count="1" selected="0">
              <x v="1"/>
            </reference>
          </references>
        </pivotArea>
        <pivotArea type="data" outline="0" collapsedLevelsAreSubtotals="1" fieldPosition="0">
          <references count="2">
            <reference field="4294967294" count="1" selected="0">
              <x v="29"/>
            </reference>
            <reference field="0" count="1" selected="0">
              <x v="1"/>
            </reference>
          </references>
        </pivotArea>
        <pivotArea type="data" outline="0" collapsedLevelsAreSubtotals="1" fieldPosition="0">
          <references count="2">
            <reference field="4294967294" count="1" selected="0">
              <x v="32"/>
            </reference>
            <reference field="0" count="1" selected="0">
              <x v="1"/>
            </reference>
          </references>
        </pivotArea>
        <pivotArea type="data" outline="0" collapsedLevelsAreSubtotals="1" fieldPosition="0">
          <references count="2">
            <reference field="4294967294" count="1" selected="0">
              <x v="35"/>
            </reference>
            <reference field="0" count="1" selected="0">
              <x v="1"/>
            </reference>
          </references>
        </pivotArea>
        <pivotArea type="data" outline="0" collapsedLevelsAreSubtotals="1" fieldPosition="0">
          <references count="2">
            <reference field="4294967294" count="1" selected="0">
              <x v="2"/>
            </reference>
            <reference field="0" count="1" selected="0">
              <x v="2"/>
            </reference>
          </references>
        </pivotArea>
        <pivotArea type="data" outline="0" collapsedLevelsAreSubtotals="1" fieldPosition="0">
          <references count="2">
            <reference field="4294967294" count="1" selected="0">
              <x v="5"/>
            </reference>
            <reference field="0" count="1" selected="0">
              <x v="2"/>
            </reference>
          </references>
        </pivotArea>
        <pivotArea type="data" outline="0" collapsedLevelsAreSubtotals="1" fieldPosition="0">
          <references count="2">
            <reference field="4294967294" count="1" selected="0">
              <x v="8"/>
            </reference>
            <reference field="0" count="1" selected="0">
              <x v="2"/>
            </reference>
          </references>
        </pivotArea>
        <pivotArea type="data" outline="0" collapsedLevelsAreSubtotals="1" fieldPosition="0">
          <references count="2">
            <reference field="4294967294" count="1" selected="0">
              <x v="11"/>
            </reference>
            <reference field="0" count="1" selected="0">
              <x v="2"/>
            </reference>
          </references>
        </pivotArea>
        <pivotArea type="data" outline="0" collapsedLevelsAreSubtotals="1" fieldPosition="0">
          <references count="2">
            <reference field="4294967294" count="1" selected="0">
              <x v="14"/>
            </reference>
            <reference field="0" count="1" selected="0">
              <x v="2"/>
            </reference>
          </references>
        </pivotArea>
        <pivotArea type="data" outline="0" collapsedLevelsAreSubtotals="1" fieldPosition="0">
          <references count="2">
            <reference field="4294967294" count="1" selected="0">
              <x v="17"/>
            </reference>
            <reference field="0" count="1" selected="0">
              <x v="2"/>
            </reference>
          </references>
        </pivotArea>
        <pivotArea type="data" outline="0" collapsedLevelsAreSubtotals="1" fieldPosition="0">
          <references count="2">
            <reference field="4294967294" count="1" selected="0">
              <x v="20"/>
            </reference>
            <reference field="0" count="1" selected="0">
              <x v="2"/>
            </reference>
          </references>
        </pivotArea>
        <pivotArea type="data" outline="0" collapsedLevelsAreSubtotals="1" fieldPosition="0">
          <references count="2">
            <reference field="4294967294" count="1" selected="0">
              <x v="23"/>
            </reference>
            <reference field="0" count="1" selected="0">
              <x v="2"/>
            </reference>
          </references>
        </pivotArea>
        <pivotArea type="data" outline="0" collapsedLevelsAreSubtotals="1" fieldPosition="0">
          <references count="2">
            <reference field="4294967294" count="1" selected="0">
              <x v="26"/>
            </reference>
            <reference field="0" count="1" selected="0">
              <x v="2"/>
            </reference>
          </references>
        </pivotArea>
        <pivotArea type="data" outline="0" collapsedLevelsAreSubtotals="1" fieldPosition="0">
          <references count="2">
            <reference field="4294967294" count="1" selected="0">
              <x v="29"/>
            </reference>
            <reference field="0" count="1" selected="0">
              <x v="2"/>
            </reference>
          </references>
        </pivotArea>
        <pivotArea type="data" outline="0" collapsedLevelsAreSubtotals="1" fieldPosition="0">
          <references count="2">
            <reference field="4294967294" count="1" selected="0">
              <x v="32"/>
            </reference>
            <reference field="0" count="1" selected="0">
              <x v="2"/>
            </reference>
          </references>
        </pivotArea>
        <pivotArea type="data" outline="0" collapsedLevelsAreSubtotals="1" fieldPosition="0">
          <references count="2">
            <reference field="4294967294" count="1" selected="0">
              <x v="35"/>
            </reference>
            <reference field="0" count="1" selected="0">
              <x v="2"/>
            </reference>
          </references>
        </pivotArea>
        <pivotArea type="data" outline="0" collapsedLevelsAreSubtotals="1" fieldPosition="0">
          <references count="2">
            <reference field="4294967294" count="1" selected="0">
              <x v="2"/>
            </reference>
            <reference field="0" count="1" selected="0">
              <x v="3"/>
            </reference>
          </references>
        </pivotArea>
        <pivotArea type="data" outline="0" collapsedLevelsAreSubtotals="1" fieldPosition="0">
          <references count="2">
            <reference field="4294967294" count="1" selected="0">
              <x v="5"/>
            </reference>
            <reference field="0" count="1" selected="0">
              <x v="3"/>
            </reference>
          </references>
        </pivotArea>
        <pivotArea type="data" outline="0" collapsedLevelsAreSubtotals="1" fieldPosition="0">
          <references count="2">
            <reference field="4294967294" count="1" selected="0">
              <x v="8"/>
            </reference>
            <reference field="0" count="1" selected="0">
              <x v="3"/>
            </reference>
          </references>
        </pivotArea>
        <pivotArea type="data" outline="0" collapsedLevelsAreSubtotals="1" fieldPosition="0">
          <references count="2">
            <reference field="4294967294" count="1" selected="0">
              <x v="11"/>
            </reference>
            <reference field="0" count="1" selected="0">
              <x v="3"/>
            </reference>
          </references>
        </pivotArea>
        <pivotArea type="data" outline="0" collapsedLevelsAreSubtotals="1" fieldPosition="0">
          <references count="2">
            <reference field="4294967294" count="1" selected="0">
              <x v="14"/>
            </reference>
            <reference field="0" count="1" selected="0">
              <x v="3"/>
            </reference>
          </references>
        </pivotArea>
        <pivotArea type="data" outline="0" collapsedLevelsAreSubtotals="1" fieldPosition="0">
          <references count="2">
            <reference field="4294967294" count="1" selected="0">
              <x v="17"/>
            </reference>
            <reference field="0" count="1" selected="0">
              <x v="3"/>
            </reference>
          </references>
        </pivotArea>
        <pivotArea type="data" outline="0" collapsedLevelsAreSubtotals="1" fieldPosition="0">
          <references count="2">
            <reference field="4294967294" count="1" selected="0">
              <x v="20"/>
            </reference>
            <reference field="0" count="1" selected="0">
              <x v="3"/>
            </reference>
          </references>
        </pivotArea>
        <pivotArea type="data" outline="0" collapsedLevelsAreSubtotals="1" fieldPosition="0">
          <references count="2">
            <reference field="4294967294" count="1" selected="0">
              <x v="23"/>
            </reference>
            <reference field="0" count="1" selected="0">
              <x v="3"/>
            </reference>
          </references>
        </pivotArea>
        <pivotArea type="data" outline="0" collapsedLevelsAreSubtotals="1" fieldPosition="0">
          <references count="2">
            <reference field="4294967294" count="1" selected="0">
              <x v="26"/>
            </reference>
            <reference field="0" count="1" selected="0">
              <x v="3"/>
            </reference>
          </references>
        </pivotArea>
        <pivotArea type="data" outline="0" collapsedLevelsAreSubtotals="1" fieldPosition="0">
          <references count="2">
            <reference field="4294967294" count="1" selected="0">
              <x v="29"/>
            </reference>
            <reference field="0" count="1" selected="0">
              <x v="3"/>
            </reference>
          </references>
        </pivotArea>
        <pivotArea type="data" outline="0" collapsedLevelsAreSubtotals="1" fieldPosition="0">
          <references count="2">
            <reference field="4294967294" count="1" selected="0">
              <x v="32"/>
            </reference>
            <reference field="0" count="1" selected="0">
              <x v="3"/>
            </reference>
          </references>
        </pivotArea>
        <pivotArea type="data" outline="0" collapsedLevelsAreSubtotals="1" fieldPosition="0">
          <references count="2">
            <reference field="4294967294" count="1" selected="0">
              <x v="35"/>
            </reference>
            <reference field="0" count="1" selected="0">
              <x v="3"/>
            </reference>
          </references>
        </pivotArea>
        <pivotArea type="data" outline="0" collapsedLevelsAreSubtotals="1" fieldPosition="0">
          <references count="2">
            <reference field="4294967294" count="1" selected="0">
              <x v="2"/>
            </reference>
            <reference field="0" count="1" selected="0">
              <x v="4"/>
            </reference>
          </references>
        </pivotArea>
        <pivotArea type="data" outline="0" collapsedLevelsAreSubtotals="1" fieldPosition="0">
          <references count="2">
            <reference field="4294967294" count="1" selected="0">
              <x v="5"/>
            </reference>
            <reference field="0" count="1" selected="0">
              <x v="4"/>
            </reference>
          </references>
        </pivotArea>
        <pivotArea type="data" outline="0" collapsedLevelsAreSubtotals="1" fieldPosition="0">
          <references count="2">
            <reference field="4294967294" count="1" selected="0">
              <x v="8"/>
            </reference>
            <reference field="0" count="1" selected="0">
              <x v="4"/>
            </reference>
          </references>
        </pivotArea>
        <pivotArea type="data" outline="0" collapsedLevelsAreSubtotals="1" fieldPosition="0">
          <references count="2">
            <reference field="4294967294" count="1" selected="0">
              <x v="11"/>
            </reference>
            <reference field="0" count="1" selected="0">
              <x v="4"/>
            </reference>
          </references>
        </pivotArea>
        <pivotArea type="data" outline="0" collapsedLevelsAreSubtotals="1" fieldPosition="0">
          <references count="2">
            <reference field="4294967294" count="1" selected="0">
              <x v="14"/>
            </reference>
            <reference field="0" count="1" selected="0">
              <x v="4"/>
            </reference>
          </references>
        </pivotArea>
        <pivotArea type="data" outline="0" collapsedLevelsAreSubtotals="1" fieldPosition="0">
          <references count="2">
            <reference field="4294967294" count="1" selected="0">
              <x v="17"/>
            </reference>
            <reference field="0" count="1" selected="0">
              <x v="4"/>
            </reference>
          </references>
        </pivotArea>
        <pivotArea type="data" outline="0" collapsedLevelsAreSubtotals="1" fieldPosition="0">
          <references count="2">
            <reference field="4294967294" count="1" selected="0">
              <x v="20"/>
            </reference>
            <reference field="0" count="1" selected="0">
              <x v="4"/>
            </reference>
          </references>
        </pivotArea>
        <pivotArea type="data" outline="0" collapsedLevelsAreSubtotals="1" fieldPosition="0">
          <references count="2">
            <reference field="4294967294" count="1" selected="0">
              <x v="23"/>
            </reference>
            <reference field="0" count="1" selected="0">
              <x v="4"/>
            </reference>
          </references>
        </pivotArea>
        <pivotArea type="data" outline="0" collapsedLevelsAreSubtotals="1" fieldPosition="0">
          <references count="2">
            <reference field="4294967294" count="1" selected="0">
              <x v="26"/>
            </reference>
            <reference field="0" count="1" selected="0">
              <x v="4"/>
            </reference>
          </references>
        </pivotArea>
        <pivotArea type="data" outline="0" collapsedLevelsAreSubtotals="1" fieldPosition="0">
          <references count="2">
            <reference field="4294967294" count="1" selected="0">
              <x v="29"/>
            </reference>
            <reference field="0" count="1" selected="0">
              <x v="4"/>
            </reference>
          </references>
        </pivotArea>
        <pivotArea type="data" outline="0" collapsedLevelsAreSubtotals="1" fieldPosition="0">
          <references count="2">
            <reference field="4294967294" count="1" selected="0">
              <x v="32"/>
            </reference>
            <reference field="0" count="1" selected="0">
              <x v="4"/>
            </reference>
          </references>
        </pivotArea>
        <pivotArea type="data" outline="0" collapsedLevelsAreSubtotals="1" fieldPosition="0">
          <references count="2">
            <reference field="4294967294" count="1" selected="0">
              <x v="35"/>
            </reference>
            <reference field="0" count="1" selected="0">
              <x v="4"/>
            </reference>
          </references>
        </pivotArea>
        <pivotArea type="data" outline="0" collapsedLevelsAreSubtotals="1" fieldPosition="0">
          <references count="2">
            <reference field="4294967294" count="1" selected="0">
              <x v="2"/>
            </reference>
            <reference field="0" count="1" selected="0">
              <x v="5"/>
            </reference>
          </references>
        </pivotArea>
        <pivotArea type="data" outline="0" collapsedLevelsAreSubtotals="1" fieldPosition="0">
          <references count="2">
            <reference field="4294967294" count="1" selected="0">
              <x v="5"/>
            </reference>
            <reference field="0" count="1" selected="0">
              <x v="5"/>
            </reference>
          </references>
        </pivotArea>
        <pivotArea type="data" outline="0" collapsedLevelsAreSubtotals="1" fieldPosition="0">
          <references count="2">
            <reference field="4294967294" count="1" selected="0">
              <x v="8"/>
            </reference>
            <reference field="0" count="1" selected="0">
              <x v="5"/>
            </reference>
          </references>
        </pivotArea>
        <pivotArea type="data" outline="0" collapsedLevelsAreSubtotals="1" fieldPosition="0">
          <references count="2">
            <reference field="4294967294" count="1" selected="0">
              <x v="11"/>
            </reference>
            <reference field="0" count="1" selected="0">
              <x v="5"/>
            </reference>
          </references>
        </pivotArea>
        <pivotArea type="data" outline="0" collapsedLevelsAreSubtotals="1" fieldPosition="0">
          <references count="2">
            <reference field="4294967294" count="1" selected="0">
              <x v="14"/>
            </reference>
            <reference field="0" count="1" selected="0">
              <x v="5"/>
            </reference>
          </references>
        </pivotArea>
        <pivotArea type="data" outline="0" collapsedLevelsAreSubtotals="1" fieldPosition="0">
          <references count="2">
            <reference field="4294967294" count="1" selected="0">
              <x v="17"/>
            </reference>
            <reference field="0" count="1" selected="0">
              <x v="5"/>
            </reference>
          </references>
        </pivotArea>
        <pivotArea type="data" outline="0" collapsedLevelsAreSubtotals="1" fieldPosition="0">
          <references count="2">
            <reference field="4294967294" count="1" selected="0">
              <x v="20"/>
            </reference>
            <reference field="0" count="1" selected="0">
              <x v="5"/>
            </reference>
          </references>
        </pivotArea>
        <pivotArea type="data" outline="0" collapsedLevelsAreSubtotals="1" fieldPosition="0">
          <references count="2">
            <reference field="4294967294" count="1" selected="0">
              <x v="23"/>
            </reference>
            <reference field="0" count="1" selected="0">
              <x v="5"/>
            </reference>
          </references>
        </pivotArea>
        <pivotArea type="data" outline="0" collapsedLevelsAreSubtotals="1" fieldPosition="0">
          <references count="2">
            <reference field="4294967294" count="1" selected="0">
              <x v="26"/>
            </reference>
            <reference field="0" count="1" selected="0">
              <x v="5"/>
            </reference>
          </references>
        </pivotArea>
        <pivotArea type="data" outline="0" collapsedLevelsAreSubtotals="1" fieldPosition="0">
          <references count="2">
            <reference field="4294967294" count="1" selected="0">
              <x v="29"/>
            </reference>
            <reference field="0" count="1" selected="0">
              <x v="5"/>
            </reference>
          </references>
        </pivotArea>
        <pivotArea type="data" outline="0" collapsedLevelsAreSubtotals="1" fieldPosition="0">
          <references count="2">
            <reference field="4294967294" count="1" selected="0">
              <x v="32"/>
            </reference>
            <reference field="0" count="1" selected="0">
              <x v="5"/>
            </reference>
          </references>
        </pivotArea>
        <pivotArea type="data" outline="0" collapsedLevelsAreSubtotals="1" fieldPosition="0">
          <references count="2">
            <reference field="4294967294" count="1" selected="0">
              <x v="35"/>
            </reference>
            <reference field="0" count="1" selected="0">
              <x v="5"/>
            </reference>
          </references>
        </pivotArea>
        <pivotArea type="data" outline="0" collapsedLevelsAreSubtotals="1" fieldPosition="0">
          <references count="2">
            <reference field="4294967294" count="1" selected="0">
              <x v="2"/>
            </reference>
            <reference field="0" count="1" selected="0">
              <x v="6"/>
            </reference>
          </references>
        </pivotArea>
        <pivotArea type="data" outline="0" collapsedLevelsAreSubtotals="1" fieldPosition="0">
          <references count="2">
            <reference field="4294967294" count="1" selected="0">
              <x v="5"/>
            </reference>
            <reference field="0" count="1" selected="0">
              <x v="6"/>
            </reference>
          </references>
        </pivotArea>
        <pivotArea type="data" outline="0" collapsedLevelsAreSubtotals="1" fieldPosition="0">
          <references count="2">
            <reference field="4294967294" count="1" selected="0">
              <x v="8"/>
            </reference>
            <reference field="0" count="1" selected="0">
              <x v="6"/>
            </reference>
          </references>
        </pivotArea>
        <pivotArea type="data" outline="0" collapsedLevelsAreSubtotals="1" fieldPosition="0">
          <references count="2">
            <reference field="4294967294" count="1" selected="0">
              <x v="11"/>
            </reference>
            <reference field="0" count="1" selected="0">
              <x v="6"/>
            </reference>
          </references>
        </pivotArea>
        <pivotArea type="data" outline="0" collapsedLevelsAreSubtotals="1" fieldPosition="0">
          <references count="2">
            <reference field="4294967294" count="1" selected="0">
              <x v="14"/>
            </reference>
            <reference field="0" count="1" selected="0">
              <x v="6"/>
            </reference>
          </references>
        </pivotArea>
        <pivotArea type="data" outline="0" collapsedLevelsAreSubtotals="1" fieldPosition="0">
          <references count="2">
            <reference field="4294967294" count="1" selected="0">
              <x v="17"/>
            </reference>
            <reference field="0" count="1" selected="0">
              <x v="6"/>
            </reference>
          </references>
        </pivotArea>
        <pivotArea type="data" outline="0" collapsedLevelsAreSubtotals="1" fieldPosition="0">
          <references count="2">
            <reference field="4294967294" count="1" selected="0">
              <x v="20"/>
            </reference>
            <reference field="0" count="1" selected="0">
              <x v="6"/>
            </reference>
          </references>
        </pivotArea>
        <pivotArea type="data" outline="0" collapsedLevelsAreSubtotals="1" fieldPosition="0">
          <references count="2">
            <reference field="4294967294" count="1" selected="0">
              <x v="23"/>
            </reference>
            <reference field="0" count="1" selected="0">
              <x v="6"/>
            </reference>
          </references>
        </pivotArea>
        <pivotArea type="data" outline="0" collapsedLevelsAreSubtotals="1" fieldPosition="0">
          <references count="2">
            <reference field="4294967294" count="1" selected="0">
              <x v="26"/>
            </reference>
            <reference field="0" count="1" selected="0">
              <x v="6"/>
            </reference>
          </references>
        </pivotArea>
        <pivotArea type="data" outline="0" collapsedLevelsAreSubtotals="1" fieldPosition="0">
          <references count="2">
            <reference field="4294967294" count="1" selected="0">
              <x v="29"/>
            </reference>
            <reference field="0" count="1" selected="0">
              <x v="6"/>
            </reference>
          </references>
        </pivotArea>
        <pivotArea type="data" outline="0" collapsedLevelsAreSubtotals="1" fieldPosition="0">
          <references count="2">
            <reference field="4294967294" count="1" selected="0">
              <x v="32"/>
            </reference>
            <reference field="0" count="1" selected="0">
              <x v="6"/>
            </reference>
          </references>
        </pivotArea>
        <pivotArea type="data" outline="0" collapsedLevelsAreSubtotals="1" fieldPosition="0">
          <references count="2">
            <reference field="4294967294" count="1" selected="0">
              <x v="35"/>
            </reference>
            <reference field="0" count="1" selected="0">
              <x v="6"/>
            </reference>
          </references>
        </pivotArea>
        <pivotArea type="data" outline="0" collapsedLevelsAreSubtotals="1" fieldPosition="0">
          <references count="2">
            <reference field="4294967294" count="1" selected="0">
              <x v="2"/>
            </reference>
            <reference field="0" count="1" selected="0">
              <x v="7"/>
            </reference>
          </references>
        </pivotArea>
        <pivotArea type="data" outline="0" collapsedLevelsAreSubtotals="1" fieldPosition="0">
          <references count="2">
            <reference field="4294967294" count="1" selected="0">
              <x v="5"/>
            </reference>
            <reference field="0" count="1" selected="0">
              <x v="7"/>
            </reference>
          </references>
        </pivotArea>
        <pivotArea type="data" outline="0" collapsedLevelsAreSubtotals="1" fieldPosition="0">
          <references count="2">
            <reference field="4294967294" count="1" selected="0">
              <x v="8"/>
            </reference>
            <reference field="0" count="1" selected="0">
              <x v="7"/>
            </reference>
          </references>
        </pivotArea>
        <pivotArea type="data" outline="0" collapsedLevelsAreSubtotals="1" fieldPosition="0">
          <references count="2">
            <reference field="4294967294" count="1" selected="0">
              <x v="11"/>
            </reference>
            <reference field="0" count="1" selected="0">
              <x v="7"/>
            </reference>
          </references>
        </pivotArea>
        <pivotArea type="data" outline="0" collapsedLevelsAreSubtotals="1" fieldPosition="0">
          <references count="2">
            <reference field="4294967294" count="1" selected="0">
              <x v="14"/>
            </reference>
            <reference field="0" count="1" selected="0">
              <x v="7"/>
            </reference>
          </references>
        </pivotArea>
        <pivotArea type="data" outline="0" collapsedLevelsAreSubtotals="1" fieldPosition="0">
          <references count="2">
            <reference field="4294967294" count="1" selected="0">
              <x v="17"/>
            </reference>
            <reference field="0" count="1" selected="0">
              <x v="7"/>
            </reference>
          </references>
        </pivotArea>
        <pivotArea type="data" outline="0" collapsedLevelsAreSubtotals="1" fieldPosition="0">
          <references count="2">
            <reference field="4294967294" count="1" selected="0">
              <x v="20"/>
            </reference>
            <reference field="0" count="1" selected="0">
              <x v="7"/>
            </reference>
          </references>
        </pivotArea>
        <pivotArea type="data" outline="0" collapsedLevelsAreSubtotals="1" fieldPosition="0">
          <references count="2">
            <reference field="4294967294" count="1" selected="0">
              <x v="23"/>
            </reference>
            <reference field="0" count="1" selected="0">
              <x v="7"/>
            </reference>
          </references>
        </pivotArea>
        <pivotArea type="data" outline="0" collapsedLevelsAreSubtotals="1" fieldPosition="0">
          <references count="2">
            <reference field="4294967294" count="1" selected="0">
              <x v="26"/>
            </reference>
            <reference field="0" count="1" selected="0">
              <x v="7"/>
            </reference>
          </references>
        </pivotArea>
        <pivotArea type="data" outline="0" collapsedLevelsAreSubtotals="1" fieldPosition="0">
          <references count="2">
            <reference field="4294967294" count="1" selected="0">
              <x v="29"/>
            </reference>
            <reference field="0" count="1" selected="0">
              <x v="7"/>
            </reference>
          </references>
        </pivotArea>
        <pivotArea type="data" outline="0" collapsedLevelsAreSubtotals="1" fieldPosition="0">
          <references count="2">
            <reference field="4294967294" count="1" selected="0">
              <x v="32"/>
            </reference>
            <reference field="0" count="1" selected="0">
              <x v="7"/>
            </reference>
          </references>
        </pivotArea>
        <pivotArea type="data" outline="0" collapsedLevelsAreSubtotals="1" fieldPosition="0">
          <references count="2">
            <reference field="4294967294" count="1" selected="0">
              <x v="35"/>
            </reference>
            <reference field="0" count="1" selected="0">
              <x v="7"/>
            </reference>
          </references>
        </pivotArea>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 type="data" outline="0" collapsedLevelsAreSubtotals="1" fieldPosition="0">
          <references count="2">
            <reference field="4294967294" count="1" selected="0">
              <x v="2"/>
            </reference>
            <reference field="0" count="1" selected="0">
              <x v="9"/>
            </reference>
          </references>
        </pivotArea>
        <pivotArea type="data" outline="0" collapsedLevelsAreSubtotals="1" fieldPosition="0">
          <references count="2">
            <reference field="4294967294" count="1" selected="0">
              <x v="5"/>
            </reference>
            <reference field="0" count="1" selected="0">
              <x v="9"/>
            </reference>
          </references>
        </pivotArea>
        <pivotArea type="data" outline="0" collapsedLevelsAreSubtotals="1" fieldPosition="0">
          <references count="2">
            <reference field="4294967294" count="1" selected="0">
              <x v="8"/>
            </reference>
            <reference field="0" count="1" selected="0">
              <x v="9"/>
            </reference>
          </references>
        </pivotArea>
        <pivotArea type="data" outline="0" collapsedLevelsAreSubtotals="1" fieldPosition="0">
          <references count="2">
            <reference field="4294967294" count="1" selected="0">
              <x v="11"/>
            </reference>
            <reference field="0" count="1" selected="0">
              <x v="9"/>
            </reference>
          </references>
        </pivotArea>
        <pivotArea type="data" outline="0" collapsedLevelsAreSubtotals="1" fieldPosition="0">
          <references count="2">
            <reference field="4294967294" count="1" selected="0">
              <x v="14"/>
            </reference>
            <reference field="0" count="1" selected="0">
              <x v="9"/>
            </reference>
          </references>
        </pivotArea>
        <pivotArea type="data" outline="0" collapsedLevelsAreSubtotals="1" fieldPosition="0">
          <references count="2">
            <reference field="4294967294" count="1" selected="0">
              <x v="17"/>
            </reference>
            <reference field="0" count="1" selected="0">
              <x v="9"/>
            </reference>
          </references>
        </pivotArea>
        <pivotArea type="data" outline="0" collapsedLevelsAreSubtotals="1" fieldPosition="0">
          <references count="2">
            <reference field="4294967294" count="1" selected="0">
              <x v="20"/>
            </reference>
            <reference field="0" count="1" selected="0">
              <x v="9"/>
            </reference>
          </references>
        </pivotArea>
        <pivotArea type="data" outline="0" collapsedLevelsAreSubtotals="1" fieldPosition="0">
          <references count="2">
            <reference field="4294967294" count="1" selected="0">
              <x v="23"/>
            </reference>
            <reference field="0" count="1" selected="0">
              <x v="9"/>
            </reference>
          </references>
        </pivotArea>
        <pivotArea type="data" outline="0" collapsedLevelsAreSubtotals="1" fieldPosition="0">
          <references count="2">
            <reference field="4294967294" count="1" selected="0">
              <x v="26"/>
            </reference>
            <reference field="0" count="1" selected="0">
              <x v="9"/>
            </reference>
          </references>
        </pivotArea>
        <pivotArea type="data" outline="0" collapsedLevelsAreSubtotals="1" fieldPosition="0">
          <references count="2">
            <reference field="4294967294" count="1" selected="0">
              <x v="29"/>
            </reference>
            <reference field="0" count="1" selected="0">
              <x v="9"/>
            </reference>
          </references>
        </pivotArea>
        <pivotArea type="data" outline="0" collapsedLevelsAreSubtotals="1" fieldPosition="0">
          <references count="2">
            <reference field="4294967294" count="1" selected="0">
              <x v="32"/>
            </reference>
            <reference field="0" count="1" selected="0">
              <x v="9"/>
            </reference>
          </references>
        </pivotArea>
        <pivotArea type="data" outline="0" collapsedLevelsAreSubtotals="1" fieldPosition="0">
          <references count="2">
            <reference field="4294967294" count="1" selected="0">
              <x v="35"/>
            </reference>
            <reference field="0" count="1" selected="0">
              <x v="9"/>
            </reference>
          </references>
        </pivotArea>
        <pivotArea type="data" outline="0" collapsedLevelsAreSubtotals="1" fieldPosition="0">
          <references count="2">
            <reference field="4294967294" count="1" selected="0">
              <x v="2"/>
            </reference>
            <reference field="0" count="1" selected="0">
              <x v="10"/>
            </reference>
          </references>
        </pivotArea>
        <pivotArea type="data" outline="0" collapsedLevelsAreSubtotals="1" fieldPosition="0">
          <references count="2">
            <reference field="4294967294" count="1" selected="0">
              <x v="5"/>
            </reference>
            <reference field="0" count="1" selected="0">
              <x v="10"/>
            </reference>
          </references>
        </pivotArea>
        <pivotArea type="data" outline="0" collapsedLevelsAreSubtotals="1" fieldPosition="0">
          <references count="2">
            <reference field="4294967294" count="1" selected="0">
              <x v="8"/>
            </reference>
            <reference field="0" count="1" selected="0">
              <x v="10"/>
            </reference>
          </references>
        </pivotArea>
        <pivotArea type="data" outline="0" collapsedLevelsAreSubtotals="1" fieldPosition="0">
          <references count="2">
            <reference field="4294967294" count="1" selected="0">
              <x v="11"/>
            </reference>
            <reference field="0" count="1" selected="0">
              <x v="10"/>
            </reference>
          </references>
        </pivotArea>
        <pivotArea type="data" outline="0" collapsedLevelsAreSubtotals="1" fieldPosition="0">
          <references count="2">
            <reference field="4294967294" count="1" selected="0">
              <x v="14"/>
            </reference>
            <reference field="0" count="1" selected="0">
              <x v="10"/>
            </reference>
          </references>
        </pivotArea>
        <pivotArea type="data" outline="0" collapsedLevelsAreSubtotals="1" fieldPosition="0">
          <references count="2">
            <reference field="4294967294" count="1" selected="0">
              <x v="17"/>
            </reference>
            <reference field="0" count="1" selected="0">
              <x v="10"/>
            </reference>
          </references>
        </pivotArea>
        <pivotArea type="data" outline="0" collapsedLevelsAreSubtotals="1" fieldPosition="0">
          <references count="2">
            <reference field="4294967294" count="1" selected="0">
              <x v="20"/>
            </reference>
            <reference field="0" count="1" selected="0">
              <x v="10"/>
            </reference>
          </references>
        </pivotArea>
        <pivotArea type="data" outline="0" collapsedLevelsAreSubtotals="1" fieldPosition="0">
          <references count="2">
            <reference field="4294967294" count="1" selected="0">
              <x v="23"/>
            </reference>
            <reference field="0" count="1" selected="0">
              <x v="10"/>
            </reference>
          </references>
        </pivotArea>
        <pivotArea type="data" outline="0" collapsedLevelsAreSubtotals="1" fieldPosition="0">
          <references count="2">
            <reference field="4294967294" count="1" selected="0">
              <x v="26"/>
            </reference>
            <reference field="0" count="1" selected="0">
              <x v="10"/>
            </reference>
          </references>
        </pivotArea>
        <pivotArea type="data" outline="0" collapsedLevelsAreSubtotals="1" fieldPosition="0">
          <references count="2">
            <reference field="4294967294" count="1" selected="0">
              <x v="29"/>
            </reference>
            <reference field="0" count="1" selected="0">
              <x v="10"/>
            </reference>
          </references>
        </pivotArea>
        <pivotArea type="data" outline="0" collapsedLevelsAreSubtotals="1" fieldPosition="0">
          <references count="2">
            <reference field="4294967294" count="1" selected="0">
              <x v="32"/>
            </reference>
            <reference field="0" count="1" selected="0">
              <x v="10"/>
            </reference>
          </references>
        </pivotArea>
        <pivotArea type="data" outline="0" collapsedLevelsAreSubtotals="1" fieldPosition="0">
          <references count="2">
            <reference field="4294967294" count="1" selected="0">
              <x v="35"/>
            </reference>
            <reference field="0" count="1" selected="0">
              <x v="10"/>
            </reference>
          </references>
        </pivotArea>
        <pivotArea type="data" outline="0" collapsedLevelsAreSubtotals="1" fieldPosition="0">
          <references count="2">
            <reference field="4294967294" count="1" selected="0">
              <x v="2"/>
            </reference>
            <reference field="0" count="1" selected="0">
              <x v="11"/>
            </reference>
          </references>
        </pivotArea>
        <pivotArea type="data" outline="0" collapsedLevelsAreSubtotals="1" fieldPosition="0">
          <references count="2">
            <reference field="4294967294" count="1" selected="0">
              <x v="5"/>
            </reference>
            <reference field="0" count="1" selected="0">
              <x v="11"/>
            </reference>
          </references>
        </pivotArea>
        <pivotArea type="data" outline="0" collapsedLevelsAreSubtotals="1" fieldPosition="0">
          <references count="2">
            <reference field="4294967294" count="1" selected="0">
              <x v="8"/>
            </reference>
            <reference field="0" count="1" selected="0">
              <x v="11"/>
            </reference>
          </references>
        </pivotArea>
        <pivotArea type="data" outline="0" collapsedLevelsAreSubtotals="1" fieldPosition="0">
          <references count="2">
            <reference field="4294967294" count="1" selected="0">
              <x v="11"/>
            </reference>
            <reference field="0" count="1" selected="0">
              <x v="11"/>
            </reference>
          </references>
        </pivotArea>
        <pivotArea type="data" outline="0" collapsedLevelsAreSubtotals="1" fieldPosition="0">
          <references count="2">
            <reference field="4294967294" count="1" selected="0">
              <x v="14"/>
            </reference>
            <reference field="0" count="1" selected="0">
              <x v="11"/>
            </reference>
          </references>
        </pivotArea>
        <pivotArea type="data" outline="0" collapsedLevelsAreSubtotals="1" fieldPosition="0">
          <references count="2">
            <reference field="4294967294" count="1" selected="0">
              <x v="17"/>
            </reference>
            <reference field="0" count="1" selected="0">
              <x v="11"/>
            </reference>
          </references>
        </pivotArea>
        <pivotArea type="data" outline="0" collapsedLevelsAreSubtotals="1" fieldPosition="0">
          <references count="2">
            <reference field="4294967294" count="1" selected="0">
              <x v="20"/>
            </reference>
            <reference field="0" count="1" selected="0">
              <x v="11"/>
            </reference>
          </references>
        </pivotArea>
        <pivotArea type="data" outline="0" collapsedLevelsAreSubtotals="1" fieldPosition="0">
          <references count="2">
            <reference field="4294967294" count="1" selected="0">
              <x v="23"/>
            </reference>
            <reference field="0" count="1" selected="0">
              <x v="11"/>
            </reference>
          </references>
        </pivotArea>
        <pivotArea type="data" outline="0" collapsedLevelsAreSubtotals="1" fieldPosition="0">
          <references count="2">
            <reference field="4294967294" count="1" selected="0">
              <x v="26"/>
            </reference>
            <reference field="0" count="1" selected="0">
              <x v="11"/>
            </reference>
          </references>
        </pivotArea>
        <pivotArea type="data" outline="0" collapsedLevelsAreSubtotals="1" fieldPosition="0">
          <references count="2">
            <reference field="4294967294" count="1" selected="0">
              <x v="29"/>
            </reference>
            <reference field="0" count="1" selected="0">
              <x v="11"/>
            </reference>
          </references>
        </pivotArea>
        <pivotArea type="data" outline="0" collapsedLevelsAreSubtotals="1" fieldPosition="0">
          <references count="2">
            <reference field="4294967294" count="1" selected="0">
              <x v="32"/>
            </reference>
            <reference field="0" count="1" selected="0">
              <x v="11"/>
            </reference>
          </references>
        </pivotArea>
        <pivotArea type="data" outline="0" collapsedLevelsAreSubtotals="1" fieldPosition="0">
          <references count="2">
            <reference field="4294967294" count="1" selected="0">
              <x v="35"/>
            </reference>
            <reference field="0" count="1" selected="0">
              <x v="11"/>
            </reference>
          </references>
        </pivotArea>
        <pivotArea type="data" outline="0" collapsedLevelsAreSubtotals="1" fieldPosition="0">
          <references count="2">
            <reference field="4294967294" count="1" selected="0">
              <x v="2"/>
            </reference>
            <reference field="0" count="1" selected="0">
              <x v="12"/>
            </reference>
          </references>
        </pivotArea>
        <pivotArea type="data" outline="0" collapsedLevelsAreSubtotals="1" fieldPosition="0">
          <references count="2">
            <reference field="4294967294" count="1" selected="0">
              <x v="5"/>
            </reference>
            <reference field="0" count="1" selected="0">
              <x v="12"/>
            </reference>
          </references>
        </pivotArea>
        <pivotArea type="data" outline="0" collapsedLevelsAreSubtotals="1" fieldPosition="0">
          <references count="2">
            <reference field="4294967294" count="1" selected="0">
              <x v="8"/>
            </reference>
            <reference field="0" count="1" selected="0">
              <x v="12"/>
            </reference>
          </references>
        </pivotArea>
        <pivotArea type="data" outline="0" collapsedLevelsAreSubtotals="1" fieldPosition="0">
          <references count="2">
            <reference field="4294967294" count="1" selected="0">
              <x v="11"/>
            </reference>
            <reference field="0" count="1" selected="0">
              <x v="12"/>
            </reference>
          </references>
        </pivotArea>
        <pivotArea type="data" outline="0" collapsedLevelsAreSubtotals="1" fieldPosition="0">
          <references count="2">
            <reference field="4294967294" count="1" selected="0">
              <x v="14"/>
            </reference>
            <reference field="0" count="1" selected="0">
              <x v="12"/>
            </reference>
          </references>
        </pivotArea>
        <pivotArea type="data" outline="0" collapsedLevelsAreSubtotals="1" fieldPosition="0">
          <references count="2">
            <reference field="4294967294" count="1" selected="0">
              <x v="17"/>
            </reference>
            <reference field="0" count="1" selected="0">
              <x v="12"/>
            </reference>
          </references>
        </pivotArea>
        <pivotArea type="data" outline="0" collapsedLevelsAreSubtotals="1" fieldPosition="0">
          <references count="2">
            <reference field="4294967294" count="1" selected="0">
              <x v="20"/>
            </reference>
            <reference field="0" count="1" selected="0">
              <x v="12"/>
            </reference>
          </references>
        </pivotArea>
        <pivotArea type="data" outline="0" collapsedLevelsAreSubtotals="1" fieldPosition="0">
          <references count="2">
            <reference field="4294967294" count="1" selected="0">
              <x v="23"/>
            </reference>
            <reference field="0" count="1" selected="0">
              <x v="12"/>
            </reference>
          </references>
        </pivotArea>
        <pivotArea type="data" outline="0" collapsedLevelsAreSubtotals="1" fieldPosition="0">
          <references count="2">
            <reference field="4294967294" count="1" selected="0">
              <x v="26"/>
            </reference>
            <reference field="0" count="1" selected="0">
              <x v="12"/>
            </reference>
          </references>
        </pivotArea>
        <pivotArea type="data" outline="0" collapsedLevelsAreSubtotals="1" fieldPosition="0">
          <references count="2">
            <reference field="4294967294" count="1" selected="0">
              <x v="29"/>
            </reference>
            <reference field="0" count="1" selected="0">
              <x v="12"/>
            </reference>
          </references>
        </pivotArea>
        <pivotArea type="data" outline="0" collapsedLevelsAreSubtotals="1" fieldPosition="0">
          <references count="2">
            <reference field="4294967294" count="1" selected="0">
              <x v="32"/>
            </reference>
            <reference field="0" count="1" selected="0">
              <x v="12"/>
            </reference>
          </references>
        </pivotArea>
        <pivotArea type="data" outline="0" collapsedLevelsAreSubtotals="1" fieldPosition="0">
          <references count="2">
            <reference field="4294967294" count="1" selected="0">
              <x v="35"/>
            </reference>
            <reference field="0" count="1" selected="0">
              <x v="12"/>
            </reference>
          </references>
        </pivotArea>
        <pivotArea type="data" outline="0" collapsedLevelsAreSubtotals="1" fieldPosition="0">
          <references count="2">
            <reference field="4294967294" count="1" selected="0">
              <x v="2"/>
            </reference>
            <reference field="0" count="1" selected="0">
              <x v="13"/>
            </reference>
          </references>
        </pivotArea>
        <pivotArea type="data" outline="0" collapsedLevelsAreSubtotals="1" fieldPosition="0">
          <references count="2">
            <reference field="4294967294" count="1" selected="0">
              <x v="5"/>
            </reference>
            <reference field="0" count="1" selected="0">
              <x v="13"/>
            </reference>
          </references>
        </pivotArea>
        <pivotArea type="data" outline="0" collapsedLevelsAreSubtotals="1" fieldPosition="0">
          <references count="2">
            <reference field="4294967294" count="1" selected="0">
              <x v="8"/>
            </reference>
            <reference field="0" count="1" selected="0">
              <x v="13"/>
            </reference>
          </references>
        </pivotArea>
        <pivotArea type="data" outline="0" collapsedLevelsAreSubtotals="1" fieldPosition="0">
          <references count="2">
            <reference field="4294967294" count="1" selected="0">
              <x v="11"/>
            </reference>
            <reference field="0" count="1" selected="0">
              <x v="13"/>
            </reference>
          </references>
        </pivotArea>
        <pivotArea type="data" outline="0" collapsedLevelsAreSubtotals="1" fieldPosition="0">
          <references count="2">
            <reference field="4294967294" count="1" selected="0">
              <x v="14"/>
            </reference>
            <reference field="0" count="1" selected="0">
              <x v="13"/>
            </reference>
          </references>
        </pivotArea>
        <pivotArea type="data" outline="0" collapsedLevelsAreSubtotals="1" fieldPosition="0">
          <references count="2">
            <reference field="4294967294" count="1" selected="0">
              <x v="17"/>
            </reference>
            <reference field="0" count="1" selected="0">
              <x v="13"/>
            </reference>
          </references>
        </pivotArea>
        <pivotArea type="data" outline="0" collapsedLevelsAreSubtotals="1" fieldPosition="0">
          <references count="2">
            <reference field="4294967294" count="1" selected="0">
              <x v="20"/>
            </reference>
            <reference field="0" count="1" selected="0">
              <x v="13"/>
            </reference>
          </references>
        </pivotArea>
        <pivotArea type="data" outline="0" collapsedLevelsAreSubtotals="1" fieldPosition="0">
          <references count="2">
            <reference field="4294967294" count="1" selected="0">
              <x v="23"/>
            </reference>
            <reference field="0" count="1" selected="0">
              <x v="13"/>
            </reference>
          </references>
        </pivotArea>
        <pivotArea type="data" outline="0" collapsedLevelsAreSubtotals="1" fieldPosition="0">
          <references count="2">
            <reference field="4294967294" count="1" selected="0">
              <x v="26"/>
            </reference>
            <reference field="0" count="1" selected="0">
              <x v="13"/>
            </reference>
          </references>
        </pivotArea>
        <pivotArea type="data" outline="0" collapsedLevelsAreSubtotals="1" fieldPosition="0">
          <references count="2">
            <reference field="4294967294" count="1" selected="0">
              <x v="29"/>
            </reference>
            <reference field="0" count="1" selected="0">
              <x v="13"/>
            </reference>
          </references>
        </pivotArea>
        <pivotArea type="data" outline="0" collapsedLevelsAreSubtotals="1" fieldPosition="0">
          <references count="2">
            <reference field="4294967294" count="1" selected="0">
              <x v="32"/>
            </reference>
            <reference field="0" count="1" selected="0">
              <x v="13"/>
            </reference>
          </references>
        </pivotArea>
        <pivotArea type="data" outline="0" collapsedLevelsAreSubtotals="1" fieldPosition="0">
          <references count="2">
            <reference field="4294967294" count="1" selected="0">
              <x v="35"/>
            </reference>
            <reference field="0" count="1" selected="0">
              <x v="13"/>
            </reference>
          </references>
        </pivotArea>
        <pivotArea type="data" outline="0" collapsedLevelsAreSubtotals="1" fieldPosition="0">
          <references count="2">
            <reference field="4294967294" count="1" selected="0">
              <x v="2"/>
            </reference>
            <reference field="0" count="1" selected="0">
              <x v="14"/>
            </reference>
          </references>
        </pivotArea>
        <pivotArea type="data" outline="0" collapsedLevelsAreSubtotals="1" fieldPosition="0">
          <references count="2">
            <reference field="4294967294" count="1" selected="0">
              <x v="5"/>
            </reference>
            <reference field="0" count="1" selected="0">
              <x v="14"/>
            </reference>
          </references>
        </pivotArea>
        <pivotArea type="data" outline="0" collapsedLevelsAreSubtotals="1" fieldPosition="0">
          <references count="2">
            <reference field="4294967294" count="1" selected="0">
              <x v="8"/>
            </reference>
            <reference field="0" count="1" selected="0">
              <x v="14"/>
            </reference>
          </references>
        </pivotArea>
        <pivotArea type="data" outline="0" collapsedLevelsAreSubtotals="1" fieldPosition="0">
          <references count="2">
            <reference field="4294967294" count="1" selected="0">
              <x v="11"/>
            </reference>
            <reference field="0" count="1" selected="0">
              <x v="14"/>
            </reference>
          </references>
        </pivotArea>
        <pivotArea type="data" outline="0" collapsedLevelsAreSubtotals="1" fieldPosition="0">
          <references count="2">
            <reference field="4294967294" count="1" selected="0">
              <x v="14"/>
            </reference>
            <reference field="0" count="1" selected="0">
              <x v="14"/>
            </reference>
          </references>
        </pivotArea>
        <pivotArea type="data" outline="0" collapsedLevelsAreSubtotals="1" fieldPosition="0">
          <references count="2">
            <reference field="4294967294" count="1" selected="0">
              <x v="17"/>
            </reference>
            <reference field="0" count="1" selected="0">
              <x v="14"/>
            </reference>
          </references>
        </pivotArea>
        <pivotArea type="data" outline="0" collapsedLevelsAreSubtotals="1" fieldPosition="0">
          <references count="2">
            <reference field="4294967294" count="1" selected="0">
              <x v="20"/>
            </reference>
            <reference field="0" count="1" selected="0">
              <x v="14"/>
            </reference>
          </references>
        </pivotArea>
        <pivotArea type="data" outline="0" collapsedLevelsAreSubtotals="1" fieldPosition="0">
          <references count="2">
            <reference field="4294967294" count="1" selected="0">
              <x v="23"/>
            </reference>
            <reference field="0" count="1" selected="0">
              <x v="14"/>
            </reference>
          </references>
        </pivotArea>
        <pivotArea type="data" outline="0" collapsedLevelsAreSubtotals="1" fieldPosition="0">
          <references count="2">
            <reference field="4294967294" count="1" selected="0">
              <x v="26"/>
            </reference>
            <reference field="0" count="1" selected="0">
              <x v="14"/>
            </reference>
          </references>
        </pivotArea>
        <pivotArea type="data" outline="0" collapsedLevelsAreSubtotals="1" fieldPosition="0">
          <references count="2">
            <reference field="4294967294" count="1" selected="0">
              <x v="29"/>
            </reference>
            <reference field="0" count="1" selected="0">
              <x v="14"/>
            </reference>
          </references>
        </pivotArea>
        <pivotArea type="data" outline="0" collapsedLevelsAreSubtotals="1" fieldPosition="0">
          <references count="2">
            <reference field="4294967294" count="1" selected="0">
              <x v="32"/>
            </reference>
            <reference field="0" count="1" selected="0">
              <x v="14"/>
            </reference>
          </references>
        </pivotArea>
        <pivotArea type="data" outline="0" collapsedLevelsAreSubtotals="1" fieldPosition="0">
          <references count="2">
            <reference field="4294967294" count="1" selected="0">
              <x v="35"/>
            </reference>
            <reference field="0" count="1" selected="0">
              <x v="14"/>
            </reference>
          </references>
        </pivotArea>
        <pivotArea type="data" outline="0" collapsedLevelsAreSubtotals="1" fieldPosition="0">
          <references count="2">
            <reference field="4294967294" count="1" selected="0">
              <x v="2"/>
            </reference>
            <reference field="0" count="1" selected="0">
              <x v="15"/>
            </reference>
          </references>
        </pivotArea>
        <pivotArea type="data" outline="0" collapsedLevelsAreSubtotals="1" fieldPosition="0">
          <references count="2">
            <reference field="4294967294" count="1" selected="0">
              <x v="5"/>
            </reference>
            <reference field="0" count="1" selected="0">
              <x v="15"/>
            </reference>
          </references>
        </pivotArea>
        <pivotArea type="data" outline="0" collapsedLevelsAreSubtotals="1" fieldPosition="0">
          <references count="2">
            <reference field="4294967294" count="1" selected="0">
              <x v="8"/>
            </reference>
            <reference field="0" count="1" selected="0">
              <x v="15"/>
            </reference>
          </references>
        </pivotArea>
        <pivotArea type="data" outline="0" collapsedLevelsAreSubtotals="1" fieldPosition="0">
          <references count="2">
            <reference field="4294967294" count="1" selected="0">
              <x v="11"/>
            </reference>
            <reference field="0" count="1" selected="0">
              <x v="15"/>
            </reference>
          </references>
        </pivotArea>
        <pivotArea type="data" outline="0" collapsedLevelsAreSubtotals="1" fieldPosition="0">
          <references count="2">
            <reference field="4294967294" count="1" selected="0">
              <x v="14"/>
            </reference>
            <reference field="0" count="1" selected="0">
              <x v="15"/>
            </reference>
          </references>
        </pivotArea>
        <pivotArea type="data" outline="0" collapsedLevelsAreSubtotals="1" fieldPosition="0">
          <references count="2">
            <reference field="4294967294" count="1" selected="0">
              <x v="17"/>
            </reference>
            <reference field="0" count="1" selected="0">
              <x v="15"/>
            </reference>
          </references>
        </pivotArea>
        <pivotArea type="data" outline="0" collapsedLevelsAreSubtotals="1" fieldPosition="0">
          <references count="2">
            <reference field="4294967294" count="1" selected="0">
              <x v="20"/>
            </reference>
            <reference field="0" count="1" selected="0">
              <x v="15"/>
            </reference>
          </references>
        </pivotArea>
        <pivotArea type="data" outline="0" collapsedLevelsAreSubtotals="1" fieldPosition="0">
          <references count="2">
            <reference field="4294967294" count="1" selected="0">
              <x v="23"/>
            </reference>
            <reference field="0" count="1" selected="0">
              <x v="15"/>
            </reference>
          </references>
        </pivotArea>
        <pivotArea type="data" outline="0" collapsedLevelsAreSubtotals="1" fieldPosition="0">
          <references count="2">
            <reference field="4294967294" count="1" selected="0">
              <x v="26"/>
            </reference>
            <reference field="0" count="1" selected="0">
              <x v="15"/>
            </reference>
          </references>
        </pivotArea>
        <pivotArea type="data" outline="0" collapsedLevelsAreSubtotals="1" fieldPosition="0">
          <references count="2">
            <reference field="4294967294" count="1" selected="0">
              <x v="29"/>
            </reference>
            <reference field="0" count="1" selected="0">
              <x v="15"/>
            </reference>
          </references>
        </pivotArea>
        <pivotArea type="data" outline="0" collapsedLevelsAreSubtotals="1" fieldPosition="0">
          <references count="2">
            <reference field="4294967294" count="1" selected="0">
              <x v="32"/>
            </reference>
            <reference field="0" count="1" selected="0">
              <x v="15"/>
            </reference>
          </references>
        </pivotArea>
        <pivotArea type="data" outline="0" collapsedLevelsAreSubtotals="1" fieldPosition="0">
          <references count="2">
            <reference field="4294967294" count="1" selected="0">
              <x v="35"/>
            </reference>
            <reference field="0" count="1" selected="0">
              <x v="15"/>
            </reference>
          </references>
        </pivotArea>
      </pivotAreas>
    </conditionalFormat>
    <conditionalFormat priority="814">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813">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811">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09">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07">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05">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03">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802">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801">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99">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797">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795">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793">
      <pivotAreas count="36">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2" selected="0" defaultSubtotal="1">
              <x v="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2" selected="0" defaultSubtotal="1">
              <x v="1"/>
              <x v="2"/>
            </reference>
          </references>
        </pivotArea>
      </pivotAreas>
    </conditionalFormat>
    <conditionalFormat priority="792">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791">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789">
      <pivotAreas count="12">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s>
    </conditionalFormat>
    <conditionalFormat priority="787">
      <pivotAreas count="12">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s>
    </conditionalFormat>
    <conditionalFormat priority="785">
      <pivotAreas count="12">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s>
    </conditionalFormat>
    <conditionalFormat priority="783">
      <pivotAreas count="12">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s>
    </conditionalFormat>
    <conditionalFormat priority="781">
      <pivotAreas count="12">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s>
    </conditionalFormat>
    <conditionalFormat priority="780">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779">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777">
      <pivotAreas count="12">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s>
    </conditionalFormat>
    <conditionalFormat priority="775">
      <pivotAreas count="12">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s>
    </conditionalFormat>
    <conditionalFormat priority="773">
      <pivotAreas count="12">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s>
    </conditionalFormat>
    <conditionalFormat priority="771">
      <pivotAreas count="12">
        <pivotArea type="data" outline="0" collapsedLevelsAreSubtotals="1" fieldPosition="0">
          <references count="2">
            <reference field="4294967294" count="1" selected="0">
              <x v="2"/>
            </reference>
            <reference field="0" count="1" selected="0">
              <x v="8"/>
            </reference>
          </references>
        </pivotArea>
        <pivotArea type="data" outline="0" collapsedLevelsAreSubtotals="1" fieldPosition="0">
          <references count="2">
            <reference field="4294967294" count="1" selected="0">
              <x v="5"/>
            </reference>
            <reference field="0" count="1" selected="0">
              <x v="8"/>
            </reference>
          </references>
        </pivotArea>
        <pivotArea type="data" outline="0" collapsedLevelsAreSubtotals="1" fieldPosition="0">
          <references count="2">
            <reference field="4294967294" count="1" selected="0">
              <x v="8"/>
            </reference>
            <reference field="0" count="1" selected="0">
              <x v="8"/>
            </reference>
          </references>
        </pivotArea>
        <pivotArea type="data" outline="0" collapsedLevelsAreSubtotals="1" fieldPosition="0">
          <references count="2">
            <reference field="4294967294" count="1" selected="0">
              <x v="11"/>
            </reference>
            <reference field="0" count="1" selected="0">
              <x v="8"/>
            </reference>
          </references>
        </pivotArea>
        <pivotArea type="data" outline="0" collapsedLevelsAreSubtotals="1" fieldPosition="0">
          <references count="2">
            <reference field="4294967294" count="1" selected="0">
              <x v="14"/>
            </reference>
            <reference field="0" count="1" selected="0">
              <x v="8"/>
            </reference>
          </references>
        </pivotArea>
        <pivotArea type="data" outline="0" collapsedLevelsAreSubtotals="1" fieldPosition="0">
          <references count="2">
            <reference field="4294967294" count="1" selected="0">
              <x v="17"/>
            </reference>
            <reference field="0" count="1" selected="0">
              <x v="8"/>
            </reference>
          </references>
        </pivotArea>
        <pivotArea type="data" outline="0" collapsedLevelsAreSubtotals="1" fieldPosition="0">
          <references count="2">
            <reference field="4294967294" count="1" selected="0">
              <x v="20"/>
            </reference>
            <reference field="0" count="1" selected="0">
              <x v="8"/>
            </reference>
          </references>
        </pivotArea>
        <pivotArea type="data" outline="0" collapsedLevelsAreSubtotals="1" fieldPosition="0">
          <references count="2">
            <reference field="4294967294" count="1" selected="0">
              <x v="23"/>
            </reference>
            <reference field="0" count="1" selected="0">
              <x v="8"/>
            </reference>
          </references>
        </pivotArea>
        <pivotArea type="data" outline="0" collapsedLevelsAreSubtotals="1" fieldPosition="0">
          <references count="2">
            <reference field="4294967294" count="1" selected="0">
              <x v="26"/>
            </reference>
            <reference field="0" count="1" selected="0">
              <x v="8"/>
            </reference>
          </references>
        </pivotArea>
        <pivotArea type="data" outline="0" collapsedLevelsAreSubtotals="1" fieldPosition="0">
          <references count="2">
            <reference field="4294967294" count="1" selected="0">
              <x v="29"/>
            </reference>
            <reference field="0" count="1" selected="0">
              <x v="8"/>
            </reference>
          </references>
        </pivotArea>
        <pivotArea type="data" outline="0" collapsedLevelsAreSubtotals="1" fieldPosition="0">
          <references count="2">
            <reference field="4294967294" count="1" selected="0">
              <x v="32"/>
            </reference>
            <reference field="0" count="1" selected="0">
              <x v="8"/>
            </reference>
          </references>
        </pivotArea>
        <pivotArea type="data" outline="0" collapsedLevelsAreSubtotals="1" fieldPosition="0">
          <references count="2">
            <reference field="4294967294" count="1" selected="0">
              <x v="35"/>
            </reference>
            <reference field="0" count="1" selected="0">
              <x v="8"/>
            </reference>
          </references>
        </pivotArea>
      </pivotAreas>
    </conditionalFormat>
    <conditionalFormat priority="768">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767">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744">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743">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726">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25">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2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2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1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1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1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14">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13">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1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0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0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0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702">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701">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678">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677">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660">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59">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5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5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5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5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4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48">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47">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4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4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4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3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638">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637">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626">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625">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614">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613">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590">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589">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572">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71">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6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6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6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6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6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60">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59">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5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5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5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5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48">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547">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524">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523">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506">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05">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0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50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9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9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9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94">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93">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9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8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8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8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84">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483">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472">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471">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460">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459">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436">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435">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418">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17">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1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1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1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0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0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06">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05">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0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0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9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9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94">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393">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370">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369">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352">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51">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4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4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4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4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4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40">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39">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3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3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3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3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30">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329">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318">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317">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306">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305">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282">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281">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264">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63">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6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5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5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5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5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52">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51">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4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4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4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4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40">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239">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216">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215">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198">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97">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9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9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9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8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8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86">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85">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8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8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7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7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76">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175">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164">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163">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152">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151">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128">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127">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110">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09">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0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0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0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10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9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98">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97">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9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9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9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8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86">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85">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62">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61">
      <pivotAreas count="576">
        <pivotArea type="data" outline="0" collapsedLevelsAreSubtotals="1" fieldPosition="0">
          <references count="3">
            <reference field="4294967294" count="1" selected="0">
              <x v="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5"/>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6"/>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7"/>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9"/>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0"/>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1"/>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2"/>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3"/>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4"/>
            </reference>
            <reference field="32" count="1" selected="0" defaultSubtotal="1">
              <x v="2"/>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15"/>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15"/>
            </reference>
            <reference field="32" count="1" selected="0" defaultSubtotal="1">
              <x v="2"/>
            </reference>
          </references>
        </pivotArea>
      </pivotAreas>
    </conditionalFormat>
    <conditionalFormat priority="44">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3">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41">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2">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31">
      <pivotAreas count="36">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9">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7">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5">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3">
      <pivotAreas count="48">
        <pivotArea type="data" outline="0" collapsedLevelsAreSubtotals="1" fieldPosition="0">
          <references count="4">
            <reference field="4294967294" count="1" selected="0">
              <x v="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6"/>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6"/>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9"/>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9"/>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2"/>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2"/>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5"/>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5"/>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18"/>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8"/>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1"/>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1"/>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4"/>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4"/>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27"/>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7"/>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0"/>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0"/>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33"/>
            </reference>
            <reference field="0" count="1" selected="0">
              <x v="8"/>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3"/>
            </reference>
            <reference field="0" count="1" selected="0">
              <x v="8"/>
            </reference>
            <reference field="32" count="1" selected="0" defaultSubtotal="1">
              <x v="2"/>
            </reference>
          </references>
        </pivotArea>
        <pivotArea type="data" outline="0" collapsedLevelsAreSubtotals="1" fieldPosition="0">
          <references count="4">
            <reference field="4294967294" count="1" selected="0">
              <x v="0"/>
            </reference>
            <reference field="0" count="1" selected="0">
              <x v="9"/>
            </reference>
            <reference field="3" count="6" selected="0">
              <x v="1"/>
              <x v="2"/>
              <x v="3"/>
              <x v="4"/>
              <x v="5"/>
              <x v="12"/>
            </reference>
            <reference field="32" count="1" selected="0">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0"/>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1"/>
            </reference>
          </references>
        </pivotArea>
        <pivotArea type="data" outline="0" collapsedLevelsAreSubtotals="1" fieldPosition="0">
          <references count="3">
            <reference field="4294967294" count="1" selected="0">
              <x v="0"/>
            </reference>
            <reference field="0" count="1" selected="0">
              <x v="9"/>
            </reference>
            <reference field="32" count="1" selected="0" defaultSubtotal="1">
              <x v="2"/>
            </reference>
          </references>
        </pivotArea>
      </pivotAreas>
    </conditionalFormat>
    <conditionalFormat priority="22">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21">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10">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 priority="9">
      <pivotAreas count="36">
        <pivotArea type="data" outline="0" collapsedLevelsAreSubtotals="1" fieldPosition="0">
          <references count="3">
            <reference field="4294967294" count="1" selected="0">
              <x v="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5"/>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8"/>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1"/>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4"/>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17"/>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0"/>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3"/>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6"/>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29"/>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2"/>
            </reference>
            <reference field="0" count="1" selected="0">
              <x v="8"/>
            </reference>
            <reference field="32" count="1" selected="0" defaultSubtotal="1">
              <x v="2"/>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0"/>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1"/>
            </reference>
          </references>
        </pivotArea>
        <pivotArea type="data" outline="0" collapsedLevelsAreSubtotals="1" fieldPosition="0">
          <references count="3">
            <reference field="4294967294" count="1" selected="0">
              <x v="35"/>
            </reference>
            <reference field="0" count="1" selected="0">
              <x v="8"/>
            </reference>
            <reference field="32" count="1" selected="0" defaultSubtotal="1">
              <x v="2"/>
            </reference>
          </references>
        </pivotArea>
      </pivotAreas>
    </conditionalFormat>
  </conditionalFormats>
  <pivotTableStyleInfo showRowHeaders="1" showColHeaders="1" showRowStripes="0" showColStripes="0" showLastColumn="1"/>
</pivotTableDefinition>
</file>

<file path=xl/queryTables/queryTable1.xml><?xml version="1.0" encoding="utf-8"?>
<queryTable xmlns="http://schemas.openxmlformats.org/spreadsheetml/2006/main" name="SrSCH08ug4" connectionId="16"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JrSCH08ug2" connectionId="8"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JrCH08ug4" connectionId="6"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JrSCH08ug4" connectionId="10"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SrSCH08ug2" connectionId="14"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JrSCH08ug3" connectionId="9"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JrSCH08ug1" connectionId="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Dual07" connectionId="1"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SrSCH08ug3" connectionId="15"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Dual08" connectionId="2"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JrCH08ug3" connectionId="5"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JrCH08ug2" connectionId="4"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JrCH08ug1"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vmlDrawing" Target="../drawings/vmlDrawing1.v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5" Type="http://schemas.openxmlformats.org/officeDocument/2006/relationships/queryTable" Target="../queryTables/queryTable1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 Id="rId14" Type="http://schemas.openxmlformats.org/officeDocument/2006/relationships/queryTable" Target="../queryTables/query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8"/>
  </sheetPr>
  <dimension ref="A1:AF635"/>
  <sheetViews>
    <sheetView zoomScale="80" zoomScaleNormal="80" workbookViewId="0">
      <pane xSplit="4" ySplit="4" topLeftCell="E207" activePane="bottomRight" state="frozen"/>
      <selection pane="topRight" activeCell="E1" sqref="E1"/>
      <selection pane="bottomLeft" activeCell="A5" sqref="A5"/>
      <selection pane="bottomRight" activeCell="A210" sqref="A210:XFD210"/>
    </sheetView>
  </sheetViews>
  <sheetFormatPr defaultRowHeight="12.75"/>
  <cols>
    <col min="1" max="1" width="6.42578125" style="214" customWidth="1"/>
    <col min="2" max="2" width="25.5703125" style="215" customWidth="1"/>
    <col min="3" max="3" width="10.140625" style="214" customWidth="1"/>
    <col min="4" max="4" width="6.7109375" style="214" customWidth="1"/>
    <col min="5" max="5" width="13.28515625" style="216" customWidth="1"/>
    <col min="6" max="6" width="13.140625" style="217" customWidth="1"/>
    <col min="7" max="7" width="13.5703125" style="216" customWidth="1"/>
    <col min="8" max="8" width="13.5703125" style="217" customWidth="1"/>
    <col min="9" max="9" width="9" style="216" bestFit="1" customWidth="1"/>
    <col min="10" max="10" width="13.7109375" style="216" customWidth="1"/>
    <col min="11" max="11" width="8.7109375" style="216" customWidth="1"/>
    <col min="12" max="12" width="8.85546875" style="218" customWidth="1"/>
    <col min="13" max="13" width="13.85546875" style="218" customWidth="1"/>
    <col min="14" max="14" width="8.85546875" style="218" customWidth="1"/>
    <col min="15" max="15" width="17.140625" style="216" customWidth="1"/>
    <col min="16" max="16" width="17.140625" style="217" customWidth="1"/>
    <col min="17" max="17" width="13.28515625" style="216" customWidth="1"/>
    <col min="18" max="18" width="13.140625" style="217" customWidth="1"/>
    <col min="19" max="19" width="13.5703125" style="216" customWidth="1"/>
    <col min="20" max="20" width="13.5703125" style="217" customWidth="1"/>
    <col min="21" max="21" width="13.5703125" style="216" customWidth="1"/>
    <col min="22" max="22" width="13.5703125" style="217" customWidth="1"/>
    <col min="23" max="23" width="9" style="216" bestFit="1" customWidth="1"/>
    <col min="24" max="24" width="13.7109375" style="216" customWidth="1"/>
    <col min="25" max="25" width="8.7109375" style="216" customWidth="1"/>
    <col min="26" max="26" width="10.28515625" style="218" customWidth="1"/>
    <col min="27" max="27" width="13.85546875" style="218" customWidth="1"/>
    <col min="28" max="28" width="8.85546875" style="218" customWidth="1"/>
    <col min="29" max="29" width="17.140625" style="216" customWidth="1"/>
    <col min="30" max="30" width="17.140625" style="217" customWidth="1"/>
    <col min="31" max="16384" width="9.140625" style="216"/>
  </cols>
  <sheetData>
    <row r="1" spans="1:32" s="203" customFormat="1">
      <c r="A1" s="219" t="s">
        <v>235</v>
      </c>
      <c r="B1" s="219"/>
      <c r="C1" s="294"/>
      <c r="D1" s="295"/>
      <c r="E1" s="296" t="s">
        <v>140</v>
      </c>
      <c r="F1" s="297"/>
      <c r="G1" s="297"/>
      <c r="H1" s="297"/>
      <c r="I1" s="297"/>
      <c r="J1" s="297"/>
      <c r="K1" s="297"/>
      <c r="L1" s="297"/>
      <c r="M1" s="299"/>
      <c r="N1" s="299"/>
      <c r="O1" s="297"/>
      <c r="P1" s="297"/>
      <c r="Q1" s="296" t="s">
        <v>141</v>
      </c>
      <c r="R1" s="297"/>
      <c r="S1" s="298"/>
      <c r="T1" s="297"/>
      <c r="U1" s="297"/>
      <c r="V1" s="297"/>
      <c r="W1" s="297"/>
      <c r="X1" s="297"/>
      <c r="Y1" s="297"/>
      <c r="Z1" s="297"/>
      <c r="AA1" s="299"/>
      <c r="AB1" s="299"/>
      <c r="AC1" s="297"/>
      <c r="AD1" s="297"/>
    </row>
    <row r="2" spans="1:32" s="203" customFormat="1" ht="38.25">
      <c r="A2" s="300"/>
      <c r="B2" s="461"/>
      <c r="C2" s="301"/>
      <c r="D2" s="300"/>
      <c r="E2" s="579" t="s">
        <v>36</v>
      </c>
      <c r="F2" s="580"/>
      <c r="G2" s="303"/>
      <c r="H2" s="304"/>
      <c r="I2" s="303"/>
      <c r="J2" s="304"/>
      <c r="K2" s="305" t="s">
        <v>236</v>
      </c>
      <c r="L2" s="306"/>
      <c r="M2" s="307"/>
      <c r="N2" s="308" t="s">
        <v>236</v>
      </c>
      <c r="O2" s="309"/>
      <c r="P2" s="310"/>
      <c r="Q2" s="311"/>
      <c r="R2" s="304"/>
      <c r="S2" s="312" t="s">
        <v>36</v>
      </c>
      <c r="T2" s="302"/>
      <c r="U2" s="303"/>
      <c r="V2" s="304"/>
      <c r="W2" s="303"/>
      <c r="X2" s="304"/>
      <c r="Y2" s="305" t="s">
        <v>236</v>
      </c>
      <c r="Z2" s="306"/>
      <c r="AA2" s="307"/>
      <c r="AB2" s="308" t="s">
        <v>236</v>
      </c>
      <c r="AC2" s="309"/>
      <c r="AD2" s="310"/>
      <c r="AE2" s="311"/>
      <c r="AF2" s="304"/>
    </row>
    <row r="3" spans="1:32" s="203" customFormat="1" ht="169.5" customHeight="1">
      <c r="A3" s="313" t="s">
        <v>197</v>
      </c>
      <c r="B3" s="314" t="s">
        <v>198</v>
      </c>
      <c r="C3" s="313" t="s">
        <v>237</v>
      </c>
      <c r="D3" s="315" t="s">
        <v>238</v>
      </c>
      <c r="E3" s="316" t="s">
        <v>891</v>
      </c>
      <c r="F3" s="317" t="s">
        <v>892</v>
      </c>
      <c r="G3" s="318" t="s">
        <v>239</v>
      </c>
      <c r="H3" s="319" t="s">
        <v>239</v>
      </c>
      <c r="I3" s="318" t="s">
        <v>240</v>
      </c>
      <c r="J3" s="319" t="s">
        <v>240</v>
      </c>
      <c r="K3" s="320" t="s">
        <v>195</v>
      </c>
      <c r="L3" s="320" t="s">
        <v>241</v>
      </c>
      <c r="M3" s="321" t="s">
        <v>242</v>
      </c>
      <c r="N3" s="322" t="s">
        <v>195</v>
      </c>
      <c r="O3" s="323" t="s">
        <v>241</v>
      </c>
      <c r="P3" s="324" t="s">
        <v>242</v>
      </c>
      <c r="Q3" s="321" t="s">
        <v>243</v>
      </c>
      <c r="R3" s="319" t="s">
        <v>243</v>
      </c>
      <c r="S3" s="316" t="s">
        <v>893</v>
      </c>
      <c r="T3" s="317" t="s">
        <v>894</v>
      </c>
      <c r="U3" s="318" t="s">
        <v>239</v>
      </c>
      <c r="V3" s="319" t="s">
        <v>239</v>
      </c>
      <c r="W3" s="318" t="s">
        <v>240</v>
      </c>
      <c r="X3" s="319" t="s">
        <v>240</v>
      </c>
      <c r="Y3" s="320" t="s">
        <v>195</v>
      </c>
      <c r="Z3" s="320" t="s">
        <v>241</v>
      </c>
      <c r="AA3" s="321" t="s">
        <v>242</v>
      </c>
      <c r="AB3" s="322" t="s">
        <v>195</v>
      </c>
      <c r="AC3" s="323" t="s">
        <v>241</v>
      </c>
      <c r="AD3" s="324" t="s">
        <v>242</v>
      </c>
      <c r="AE3" s="321" t="s">
        <v>243</v>
      </c>
      <c r="AF3" s="319" t="s">
        <v>243</v>
      </c>
    </row>
    <row r="4" spans="1:32" s="203" customFormat="1" ht="24.75" hidden="1" customHeight="1">
      <c r="A4" s="325" t="s">
        <v>197</v>
      </c>
      <c r="B4" s="326" t="s">
        <v>198</v>
      </c>
      <c r="C4" s="325" t="s">
        <v>244</v>
      </c>
      <c r="D4" s="325" t="s">
        <v>190</v>
      </c>
      <c r="E4" s="327" t="s">
        <v>245</v>
      </c>
      <c r="F4" s="327" t="s">
        <v>246</v>
      </c>
      <c r="G4" s="327" t="s">
        <v>247</v>
      </c>
      <c r="H4" s="327" t="s">
        <v>248</v>
      </c>
      <c r="I4" s="327" t="s">
        <v>249</v>
      </c>
      <c r="J4" s="327" t="s">
        <v>250</v>
      </c>
      <c r="K4" s="327" t="s">
        <v>251</v>
      </c>
      <c r="L4" s="327" t="s">
        <v>252</v>
      </c>
      <c r="M4" s="327" t="s">
        <v>253</v>
      </c>
      <c r="N4" s="327" t="s">
        <v>254</v>
      </c>
      <c r="O4" s="328" t="s">
        <v>255</v>
      </c>
      <c r="P4" s="327" t="s">
        <v>256</v>
      </c>
      <c r="Q4" s="327" t="s">
        <v>257</v>
      </c>
      <c r="R4" s="327" t="s">
        <v>258</v>
      </c>
      <c r="S4" s="327" t="s">
        <v>259</v>
      </c>
      <c r="T4" s="327" t="s">
        <v>260</v>
      </c>
      <c r="U4" s="327" t="s">
        <v>261</v>
      </c>
      <c r="V4" s="327" t="s">
        <v>262</v>
      </c>
      <c r="W4" s="327" t="s">
        <v>263</v>
      </c>
      <c r="X4" s="327" t="s">
        <v>264</v>
      </c>
      <c r="Y4" s="327" t="s">
        <v>265</v>
      </c>
      <c r="Z4" s="327" t="s">
        <v>266</v>
      </c>
      <c r="AA4" s="327" t="s">
        <v>267</v>
      </c>
      <c r="AB4" s="327" t="s">
        <v>268</v>
      </c>
      <c r="AC4" s="328" t="s">
        <v>269</v>
      </c>
      <c r="AD4" s="327" t="s">
        <v>270</v>
      </c>
      <c r="AE4" s="327" t="s">
        <v>271</v>
      </c>
      <c r="AF4" s="329" t="s">
        <v>272</v>
      </c>
    </row>
    <row r="5" spans="1:32" s="203" customFormat="1">
      <c r="A5" s="330" t="s">
        <v>134</v>
      </c>
      <c r="B5" s="242" t="s">
        <v>234</v>
      </c>
      <c r="C5" s="330">
        <v>100858</v>
      </c>
      <c r="D5" s="330">
        <v>1</v>
      </c>
      <c r="E5" s="225">
        <f>SUM(G5,I5,K5,L5,M5,Q5)</f>
        <v>569637</v>
      </c>
      <c r="F5" s="229">
        <f>SUM(H5,J5,N5,O5,P5,R5)</f>
        <v>577366</v>
      </c>
      <c r="G5" s="226">
        <v>568046</v>
      </c>
      <c r="H5" s="200">
        <v>573530</v>
      </c>
      <c r="I5" s="226">
        <v>216</v>
      </c>
      <c r="J5" s="201">
        <v>178</v>
      </c>
      <c r="K5" s="228">
        <v>1375</v>
      </c>
      <c r="L5" s="228"/>
      <c r="M5" s="228"/>
      <c r="N5" s="202">
        <v>1790</v>
      </c>
      <c r="O5" s="202"/>
      <c r="P5" s="202">
        <v>1839</v>
      </c>
      <c r="Q5" s="228">
        <v>0</v>
      </c>
      <c r="R5" s="201">
        <v>29</v>
      </c>
      <c r="S5" s="225">
        <f t="shared" ref="S5" si="0">SUM(U5,W5,Y5,Z5,AA5,AE5)</f>
        <v>78821</v>
      </c>
      <c r="T5" s="229">
        <f t="shared" ref="T5" si="1">SUM(V5,X5,AB5,AC5,AD5,AF5)</f>
        <v>83821</v>
      </c>
      <c r="U5" s="226">
        <v>71516</v>
      </c>
      <c r="V5" s="201">
        <v>74262</v>
      </c>
      <c r="W5" s="226">
        <v>0</v>
      </c>
      <c r="X5" s="201"/>
      <c r="Y5" s="228">
        <v>127</v>
      </c>
      <c r="Z5" s="228">
        <v>1815</v>
      </c>
      <c r="AA5" s="228">
        <v>5363</v>
      </c>
      <c r="AB5" s="202">
        <v>2337</v>
      </c>
      <c r="AC5" s="202">
        <v>716</v>
      </c>
      <c r="AD5" s="202">
        <v>6506</v>
      </c>
      <c r="AE5" s="228">
        <v>0</v>
      </c>
      <c r="AF5" s="240"/>
    </row>
    <row r="6" spans="1:32" s="203" customFormat="1">
      <c r="A6" s="330" t="s">
        <v>134</v>
      </c>
      <c r="B6" s="242" t="s">
        <v>151</v>
      </c>
      <c r="C6" s="330">
        <v>100751</v>
      </c>
      <c r="D6" s="330">
        <v>1</v>
      </c>
      <c r="E6" s="225">
        <f t="shared" ref="E6:E69" si="2">SUM(G6,I6,K6,L6,M6,Q6)</f>
        <v>593686</v>
      </c>
      <c r="F6" s="229">
        <f t="shared" ref="F6:F69" si="3">SUM(H6,J6,N6,O6,P6,R6)</f>
        <v>636100</v>
      </c>
      <c r="G6" s="226">
        <v>566615</v>
      </c>
      <c r="H6" s="201">
        <v>601571</v>
      </c>
      <c r="I6" s="226">
        <v>232</v>
      </c>
      <c r="J6" s="201">
        <v>122</v>
      </c>
      <c r="K6" s="228">
        <v>25398</v>
      </c>
      <c r="L6" s="228">
        <v>801</v>
      </c>
      <c r="M6" s="228">
        <v>0</v>
      </c>
      <c r="N6" s="202">
        <v>33599</v>
      </c>
      <c r="O6" s="202">
        <v>604</v>
      </c>
      <c r="P6" s="202">
        <v>0</v>
      </c>
      <c r="Q6" s="228">
        <v>640</v>
      </c>
      <c r="R6" s="201">
        <v>204</v>
      </c>
      <c r="S6" s="225">
        <f t="shared" ref="S6:S69" si="4">SUM(U6,W6,Y6,Z6,AA6,AE6)</f>
        <v>90592</v>
      </c>
      <c r="T6" s="229">
        <f t="shared" ref="T6:T69" si="5">SUM(V6,X6,AB6,AC6,AD6,AF6)</f>
        <v>88589</v>
      </c>
      <c r="U6" s="226">
        <v>74648</v>
      </c>
      <c r="V6" s="201">
        <v>72608</v>
      </c>
      <c r="W6" s="226">
        <v>8363</v>
      </c>
      <c r="X6" s="201">
        <v>6455</v>
      </c>
      <c r="Y6" s="228">
        <v>6747</v>
      </c>
      <c r="Z6" s="228">
        <v>834</v>
      </c>
      <c r="AA6" s="228">
        <v>0</v>
      </c>
      <c r="AB6" s="202">
        <v>8911</v>
      </c>
      <c r="AC6" s="202">
        <v>615</v>
      </c>
      <c r="AD6" s="202"/>
      <c r="AE6" s="228">
        <v>0</v>
      </c>
      <c r="AF6" s="240"/>
    </row>
    <row r="7" spans="1:32" s="203" customFormat="1">
      <c r="A7" s="330" t="s">
        <v>134</v>
      </c>
      <c r="B7" s="242" t="s">
        <v>152</v>
      </c>
      <c r="C7" s="330">
        <v>100663</v>
      </c>
      <c r="D7" s="330">
        <v>1</v>
      </c>
      <c r="E7" s="225">
        <f t="shared" si="2"/>
        <v>266777</v>
      </c>
      <c r="F7" s="229">
        <f t="shared" si="3"/>
        <v>251683</v>
      </c>
      <c r="G7" s="226">
        <v>256516</v>
      </c>
      <c r="H7" s="201">
        <v>240585</v>
      </c>
      <c r="I7" s="226">
        <v>229</v>
      </c>
      <c r="J7" s="201">
        <v>230</v>
      </c>
      <c r="K7" s="228">
        <v>9999</v>
      </c>
      <c r="L7" s="228">
        <v>33</v>
      </c>
      <c r="M7" s="228">
        <v>0</v>
      </c>
      <c r="N7" s="202">
        <v>10868</v>
      </c>
      <c r="O7" s="202"/>
      <c r="P7" s="202"/>
      <c r="Q7" s="228"/>
      <c r="R7" s="201"/>
      <c r="S7" s="225">
        <f t="shared" si="4"/>
        <v>42069</v>
      </c>
      <c r="T7" s="229">
        <f t="shared" si="5"/>
        <v>43272</v>
      </c>
      <c r="U7" s="226">
        <v>39876</v>
      </c>
      <c r="V7" s="201">
        <v>41345</v>
      </c>
      <c r="W7" s="226">
        <v>489</v>
      </c>
      <c r="X7" s="201">
        <v>567</v>
      </c>
      <c r="Y7" s="228">
        <v>1575</v>
      </c>
      <c r="Z7" s="228">
        <v>129</v>
      </c>
      <c r="AA7" s="228"/>
      <c r="AB7" s="202">
        <v>1333</v>
      </c>
      <c r="AC7" s="202">
        <v>27</v>
      </c>
      <c r="AD7" s="202"/>
      <c r="AE7" s="228"/>
      <c r="AF7" s="240"/>
    </row>
    <row r="8" spans="1:32" s="203" customFormat="1">
      <c r="A8" s="330" t="s">
        <v>134</v>
      </c>
      <c r="B8" s="242" t="s">
        <v>153</v>
      </c>
      <c r="C8" s="330">
        <v>100706</v>
      </c>
      <c r="D8" s="330">
        <v>2</v>
      </c>
      <c r="E8" s="225">
        <f t="shared" si="2"/>
        <v>146658</v>
      </c>
      <c r="F8" s="229">
        <f t="shared" si="3"/>
        <v>149784</v>
      </c>
      <c r="G8" s="226">
        <v>145344</v>
      </c>
      <c r="H8" s="201">
        <v>147660</v>
      </c>
      <c r="I8" s="226"/>
      <c r="J8" s="201"/>
      <c r="K8" s="228">
        <v>1314</v>
      </c>
      <c r="L8" s="228"/>
      <c r="M8" s="228"/>
      <c r="N8" s="202">
        <v>2124</v>
      </c>
      <c r="O8" s="202"/>
      <c r="P8" s="202"/>
      <c r="Q8" s="228"/>
      <c r="R8" s="201"/>
      <c r="S8" s="225">
        <f t="shared" si="4"/>
        <v>20696</v>
      </c>
      <c r="T8" s="229">
        <f t="shared" si="5"/>
        <v>21246</v>
      </c>
      <c r="U8" s="226">
        <v>18006</v>
      </c>
      <c r="V8" s="201">
        <v>18605</v>
      </c>
      <c r="W8" s="226"/>
      <c r="X8" s="201"/>
      <c r="Y8" s="228">
        <v>2654</v>
      </c>
      <c r="Z8" s="228">
        <v>36</v>
      </c>
      <c r="AA8" s="228"/>
      <c r="AB8" s="202">
        <v>2626</v>
      </c>
      <c r="AC8" s="202"/>
      <c r="AD8" s="202">
        <v>15</v>
      </c>
      <c r="AE8" s="228"/>
      <c r="AF8" s="240"/>
    </row>
    <row r="9" spans="1:32" s="203" customFormat="1">
      <c r="A9" s="330" t="s">
        <v>134</v>
      </c>
      <c r="B9" s="242" t="s">
        <v>154</v>
      </c>
      <c r="C9" s="330">
        <v>100654</v>
      </c>
      <c r="D9" s="330">
        <v>3</v>
      </c>
      <c r="E9" s="225">
        <f t="shared" si="2"/>
        <v>0</v>
      </c>
      <c r="F9" s="229">
        <f t="shared" si="3"/>
        <v>0</v>
      </c>
      <c r="G9" s="226"/>
      <c r="H9" s="460" t="s">
        <v>878</v>
      </c>
      <c r="I9" s="226"/>
      <c r="J9" s="201"/>
      <c r="K9" s="228"/>
      <c r="L9" s="228"/>
      <c r="M9" s="228"/>
      <c r="N9" s="202"/>
      <c r="O9" s="202"/>
      <c r="P9" s="202"/>
      <c r="Q9" s="228"/>
      <c r="R9" s="201"/>
      <c r="S9" s="225">
        <f t="shared" si="4"/>
        <v>0</v>
      </c>
      <c r="T9" s="229">
        <f t="shared" si="5"/>
        <v>0</v>
      </c>
      <c r="U9" s="226"/>
      <c r="V9" s="201"/>
      <c r="W9" s="226"/>
      <c r="X9" s="201"/>
      <c r="Y9" s="228"/>
      <c r="Z9" s="228"/>
      <c r="AA9" s="228"/>
      <c r="AB9" s="202"/>
      <c r="AC9" s="202"/>
      <c r="AD9" s="202"/>
      <c r="AE9" s="228"/>
      <c r="AF9" s="240"/>
    </row>
    <row r="10" spans="1:32" s="203" customFormat="1">
      <c r="A10" s="330" t="s">
        <v>134</v>
      </c>
      <c r="B10" s="242" t="s">
        <v>155</v>
      </c>
      <c r="C10" s="330">
        <v>101480</v>
      </c>
      <c r="D10" s="330">
        <v>3</v>
      </c>
      <c r="E10" s="225">
        <f t="shared" si="2"/>
        <v>198262</v>
      </c>
      <c r="F10" s="229">
        <f t="shared" si="3"/>
        <v>205495</v>
      </c>
      <c r="G10" s="226">
        <v>171976</v>
      </c>
      <c r="H10" s="201">
        <v>172339</v>
      </c>
      <c r="I10" s="226">
        <v>1929</v>
      </c>
      <c r="J10" s="201">
        <v>2278</v>
      </c>
      <c r="K10" s="228">
        <v>23350</v>
      </c>
      <c r="L10" s="228">
        <v>1007</v>
      </c>
      <c r="M10" s="228"/>
      <c r="N10" s="202">
        <v>28639</v>
      </c>
      <c r="O10" s="202">
        <v>2239</v>
      </c>
      <c r="P10" s="202"/>
      <c r="Q10" s="228"/>
      <c r="R10" s="201"/>
      <c r="S10" s="225">
        <f t="shared" si="4"/>
        <v>23737</v>
      </c>
      <c r="T10" s="229">
        <f t="shared" si="5"/>
        <v>21752</v>
      </c>
      <c r="U10" s="226">
        <v>13067</v>
      </c>
      <c r="V10" s="201">
        <v>11668</v>
      </c>
      <c r="W10" s="226">
        <v>561</v>
      </c>
      <c r="X10" s="201">
        <v>60</v>
      </c>
      <c r="Y10" s="228">
        <v>9512</v>
      </c>
      <c r="Z10" s="228">
        <v>597</v>
      </c>
      <c r="AA10" s="228"/>
      <c r="AB10" s="202">
        <v>9562</v>
      </c>
      <c r="AC10" s="202">
        <v>462</v>
      </c>
      <c r="AD10" s="202"/>
      <c r="AE10" s="228"/>
      <c r="AF10" s="240"/>
    </row>
    <row r="11" spans="1:32" s="203" customFormat="1">
      <c r="A11" s="330" t="s">
        <v>134</v>
      </c>
      <c r="B11" s="242" t="s">
        <v>156</v>
      </c>
      <c r="C11" s="330">
        <v>102094</v>
      </c>
      <c r="D11" s="330">
        <v>3</v>
      </c>
      <c r="E11" s="225">
        <f t="shared" si="2"/>
        <v>246624</v>
      </c>
      <c r="F11" s="229">
        <f t="shared" si="3"/>
        <v>258116</v>
      </c>
      <c r="G11" s="226">
        <v>239784</v>
      </c>
      <c r="H11" s="201">
        <v>250624</v>
      </c>
      <c r="I11" s="226">
        <v>318</v>
      </c>
      <c r="J11" s="201">
        <v>466</v>
      </c>
      <c r="K11" s="228">
        <v>6522</v>
      </c>
      <c r="L11" s="228"/>
      <c r="M11" s="228"/>
      <c r="N11" s="202">
        <v>7026</v>
      </c>
      <c r="O11" s="202"/>
      <c r="P11" s="202"/>
      <c r="Q11" s="228"/>
      <c r="R11" s="201"/>
      <c r="S11" s="225">
        <f t="shared" si="4"/>
        <v>24675</v>
      </c>
      <c r="T11" s="229">
        <f t="shared" si="5"/>
        <v>21130</v>
      </c>
      <c r="U11" s="226">
        <v>20577</v>
      </c>
      <c r="V11" s="201">
        <v>18170</v>
      </c>
      <c r="W11" s="226"/>
      <c r="X11" s="201"/>
      <c r="Y11" s="228">
        <v>4098</v>
      </c>
      <c r="Z11" s="228"/>
      <c r="AA11" s="228"/>
      <c r="AB11" s="202">
        <v>2960</v>
      </c>
      <c r="AC11" s="202"/>
      <c r="AD11" s="202"/>
      <c r="AE11" s="228"/>
      <c r="AF11" s="240"/>
    </row>
    <row r="12" spans="1:32" s="203" customFormat="1">
      <c r="A12" s="330" t="s">
        <v>134</v>
      </c>
      <c r="B12" s="242" t="s">
        <v>157</v>
      </c>
      <c r="C12" s="330">
        <v>100724</v>
      </c>
      <c r="D12" s="330">
        <v>4</v>
      </c>
      <c r="E12" s="225">
        <f t="shared" si="2"/>
        <v>136525</v>
      </c>
      <c r="F12" s="229">
        <f t="shared" si="3"/>
        <v>140544</v>
      </c>
      <c r="G12" s="226">
        <v>136093</v>
      </c>
      <c r="H12" s="201">
        <v>140070</v>
      </c>
      <c r="I12" s="226"/>
      <c r="J12" s="201"/>
      <c r="K12" s="228">
        <v>432</v>
      </c>
      <c r="L12" s="228"/>
      <c r="M12" s="228"/>
      <c r="N12" s="202">
        <v>474</v>
      </c>
      <c r="O12" s="202"/>
      <c r="P12" s="202"/>
      <c r="Q12" s="228"/>
      <c r="R12" s="201"/>
      <c r="S12" s="225">
        <f t="shared" si="4"/>
        <v>17177</v>
      </c>
      <c r="T12" s="229">
        <f t="shared" si="5"/>
        <v>17316</v>
      </c>
      <c r="U12" s="226">
        <v>14519</v>
      </c>
      <c r="V12" s="201">
        <v>14537</v>
      </c>
      <c r="W12" s="226">
        <v>1887</v>
      </c>
      <c r="X12" s="201">
        <v>1722</v>
      </c>
      <c r="Y12" s="228">
        <v>462</v>
      </c>
      <c r="Z12" s="228">
        <v>309</v>
      </c>
      <c r="AA12" s="228"/>
      <c r="AB12" s="202">
        <v>799</v>
      </c>
      <c r="AC12" s="202">
        <v>258</v>
      </c>
      <c r="AD12" s="202"/>
      <c r="AE12" s="228"/>
      <c r="AF12" s="240"/>
    </row>
    <row r="13" spans="1:32" s="203" customFormat="1">
      <c r="A13" s="330" t="s">
        <v>134</v>
      </c>
      <c r="B13" s="242" t="s">
        <v>158</v>
      </c>
      <c r="C13" s="330">
        <v>100830</v>
      </c>
      <c r="D13" s="330">
        <v>4</v>
      </c>
      <c r="E13" s="225">
        <f t="shared" si="2"/>
        <v>110651</v>
      </c>
      <c r="F13" s="229">
        <f t="shared" si="3"/>
        <v>113759</v>
      </c>
      <c r="G13" s="226">
        <v>108931</v>
      </c>
      <c r="H13" s="201">
        <v>107436</v>
      </c>
      <c r="I13" s="226">
        <v>375</v>
      </c>
      <c r="J13" s="201">
        <v>1990</v>
      </c>
      <c r="K13" s="228">
        <v>1345</v>
      </c>
      <c r="L13" s="228"/>
      <c r="M13" s="228"/>
      <c r="N13" s="202">
        <v>4333</v>
      </c>
      <c r="O13" s="202"/>
      <c r="P13" s="202"/>
      <c r="Q13" s="228"/>
      <c r="R13" s="201"/>
      <c r="S13" s="225">
        <f t="shared" si="4"/>
        <v>12347</v>
      </c>
      <c r="T13" s="229">
        <f t="shared" si="5"/>
        <v>13324</v>
      </c>
      <c r="U13" s="226">
        <v>11535</v>
      </c>
      <c r="V13" s="201">
        <v>11555</v>
      </c>
      <c r="W13" s="226">
        <v>48</v>
      </c>
      <c r="X13" s="201">
        <v>516</v>
      </c>
      <c r="Y13" s="228">
        <v>764</v>
      </c>
      <c r="Z13" s="228"/>
      <c r="AA13" s="228"/>
      <c r="AB13" s="202">
        <v>1253</v>
      </c>
      <c r="AC13" s="202"/>
      <c r="AD13" s="202"/>
      <c r="AE13" s="228"/>
      <c r="AF13" s="240"/>
    </row>
    <row r="14" spans="1:32" s="203" customFormat="1">
      <c r="A14" s="561" t="s">
        <v>134</v>
      </c>
      <c r="B14" s="562" t="s">
        <v>159</v>
      </c>
      <c r="C14" s="561">
        <v>102368</v>
      </c>
      <c r="D14" s="563">
        <v>3</v>
      </c>
      <c r="E14" s="225">
        <f t="shared" si="2"/>
        <v>303809</v>
      </c>
      <c r="F14" s="229">
        <f t="shared" si="3"/>
        <v>303688</v>
      </c>
      <c r="G14" s="226">
        <v>192302</v>
      </c>
      <c r="H14" s="204">
        <v>228166</v>
      </c>
      <c r="I14" s="226">
        <v>6740</v>
      </c>
      <c r="J14" s="205">
        <v>4587</v>
      </c>
      <c r="K14" s="228">
        <v>98808</v>
      </c>
      <c r="L14" s="228">
        <v>4323</v>
      </c>
      <c r="M14" s="228">
        <v>0</v>
      </c>
      <c r="N14" s="206">
        <v>67748</v>
      </c>
      <c r="O14" s="206">
        <v>3115</v>
      </c>
      <c r="P14" s="202"/>
      <c r="Q14" s="228">
        <v>1636</v>
      </c>
      <c r="R14" s="205">
        <v>72</v>
      </c>
      <c r="S14" s="225">
        <f t="shared" si="4"/>
        <v>47747</v>
      </c>
      <c r="T14" s="229">
        <f t="shared" si="5"/>
        <v>52790</v>
      </c>
      <c r="U14" s="226">
        <v>31212</v>
      </c>
      <c r="V14" s="205">
        <v>37480</v>
      </c>
      <c r="W14" s="226">
        <v>1938</v>
      </c>
      <c r="X14" s="205">
        <v>2472</v>
      </c>
      <c r="Y14" s="228">
        <v>14077</v>
      </c>
      <c r="Z14" s="228">
        <v>520</v>
      </c>
      <c r="AA14" s="228">
        <v>0</v>
      </c>
      <c r="AB14" s="206">
        <v>10242</v>
      </c>
      <c r="AC14" s="206">
        <v>2596</v>
      </c>
      <c r="AD14" s="202"/>
      <c r="AE14" s="228">
        <v>0</v>
      </c>
      <c r="AF14" s="240"/>
    </row>
    <row r="15" spans="1:32" s="203" customFormat="1">
      <c r="A15" s="330" t="s">
        <v>134</v>
      </c>
      <c r="B15" s="242" t="s">
        <v>160</v>
      </c>
      <c r="C15" s="330">
        <v>101879</v>
      </c>
      <c r="D15" s="330">
        <v>4</v>
      </c>
      <c r="E15" s="225">
        <f t="shared" si="2"/>
        <v>153132</v>
      </c>
      <c r="F15" s="229">
        <f t="shared" si="3"/>
        <v>153110</v>
      </c>
      <c r="G15" s="226">
        <v>136967</v>
      </c>
      <c r="H15" s="201">
        <v>134940</v>
      </c>
      <c r="I15" s="226"/>
      <c r="J15" s="201"/>
      <c r="K15" s="228">
        <v>16165</v>
      </c>
      <c r="L15" s="228"/>
      <c r="M15" s="228"/>
      <c r="N15" s="202">
        <v>18170</v>
      </c>
      <c r="O15" s="202"/>
      <c r="P15" s="202"/>
      <c r="Q15" s="228"/>
      <c r="R15" s="201"/>
      <c r="S15" s="225">
        <f t="shared" si="4"/>
        <v>21817</v>
      </c>
      <c r="T15" s="229">
        <f t="shared" si="5"/>
        <v>23387</v>
      </c>
      <c r="U15" s="226">
        <v>9944</v>
      </c>
      <c r="V15" s="201">
        <v>15941</v>
      </c>
      <c r="W15" s="226"/>
      <c r="X15" s="201"/>
      <c r="Y15" s="228">
        <v>7676</v>
      </c>
      <c r="Z15" s="228">
        <v>4197</v>
      </c>
      <c r="AA15" s="228"/>
      <c r="AB15" s="202">
        <v>7446</v>
      </c>
      <c r="AC15" s="202"/>
      <c r="AD15" s="202"/>
      <c r="AE15" s="228"/>
      <c r="AF15" s="240"/>
    </row>
    <row r="16" spans="1:32" s="203" customFormat="1">
      <c r="A16" s="330" t="s">
        <v>134</v>
      </c>
      <c r="B16" s="242" t="s">
        <v>161</v>
      </c>
      <c r="C16" s="330">
        <v>101709</v>
      </c>
      <c r="D16" s="330">
        <v>5</v>
      </c>
      <c r="E16" s="225">
        <f t="shared" si="2"/>
        <v>0</v>
      </c>
      <c r="F16" s="229">
        <f t="shared" si="3"/>
        <v>71378</v>
      </c>
      <c r="G16" s="226"/>
      <c r="H16" s="460">
        <v>71378</v>
      </c>
      <c r="I16" s="226"/>
      <c r="J16" s="201"/>
      <c r="K16" s="228"/>
      <c r="L16" s="228"/>
      <c r="M16" s="228"/>
      <c r="N16" s="202"/>
      <c r="O16" s="202"/>
      <c r="P16" s="202"/>
      <c r="Q16" s="228"/>
      <c r="R16" s="201"/>
      <c r="S16" s="225">
        <f t="shared" si="4"/>
        <v>0</v>
      </c>
      <c r="T16" s="229">
        <f t="shared" si="5"/>
        <v>0</v>
      </c>
      <c r="U16" s="226"/>
      <c r="V16" s="201"/>
      <c r="W16" s="226"/>
      <c r="X16" s="201"/>
      <c r="Y16" s="228"/>
      <c r="Z16" s="228"/>
      <c r="AA16" s="228"/>
      <c r="AB16" s="202"/>
      <c r="AC16" s="202"/>
      <c r="AD16" s="202"/>
      <c r="AE16" s="228"/>
      <c r="AF16" s="240"/>
    </row>
    <row r="17" spans="1:32" s="203" customFormat="1">
      <c r="A17" s="330" t="s">
        <v>134</v>
      </c>
      <c r="B17" s="242" t="s">
        <v>162</v>
      </c>
      <c r="C17" s="330">
        <v>101587</v>
      </c>
      <c r="D17" s="330">
        <v>5</v>
      </c>
      <c r="E17" s="225">
        <f t="shared" si="2"/>
        <v>49970</v>
      </c>
      <c r="F17" s="229">
        <f t="shared" si="3"/>
        <v>50070</v>
      </c>
      <c r="G17" s="226">
        <v>47478</v>
      </c>
      <c r="H17" s="201">
        <v>46911</v>
      </c>
      <c r="I17" s="226">
        <v>78</v>
      </c>
      <c r="J17" s="201">
        <v>10</v>
      </c>
      <c r="K17" s="228">
        <v>2414</v>
      </c>
      <c r="L17" s="228"/>
      <c r="M17" s="228"/>
      <c r="N17" s="202">
        <v>3149</v>
      </c>
      <c r="O17" s="202"/>
      <c r="P17" s="202"/>
      <c r="Q17" s="228"/>
      <c r="R17" s="201"/>
      <c r="S17" s="225">
        <f t="shared" si="4"/>
        <v>29054</v>
      </c>
      <c r="T17" s="229">
        <f t="shared" si="5"/>
        <v>41822</v>
      </c>
      <c r="U17" s="226">
        <v>4591</v>
      </c>
      <c r="V17" s="201">
        <v>5361</v>
      </c>
      <c r="W17" s="226">
        <v>246</v>
      </c>
      <c r="X17" s="201">
        <v>332</v>
      </c>
      <c r="Y17" s="228">
        <v>24217</v>
      </c>
      <c r="Z17" s="228"/>
      <c r="AA17" s="228"/>
      <c r="AB17" s="202">
        <v>36129</v>
      </c>
      <c r="AC17" s="202"/>
      <c r="AD17" s="202"/>
      <c r="AE17" s="228"/>
      <c r="AF17" s="240"/>
    </row>
    <row r="18" spans="1:32" s="213" customFormat="1">
      <c r="A18" s="330" t="s">
        <v>134</v>
      </c>
      <c r="B18" s="242" t="s">
        <v>163</v>
      </c>
      <c r="C18" s="330">
        <v>100812</v>
      </c>
      <c r="D18" s="330">
        <v>6</v>
      </c>
      <c r="E18" s="225">
        <f t="shared" si="2"/>
        <v>73579</v>
      </c>
      <c r="F18" s="229">
        <f t="shared" si="3"/>
        <v>79691</v>
      </c>
      <c r="G18" s="207">
        <v>22073</v>
      </c>
      <c r="H18" s="208">
        <v>20672</v>
      </c>
      <c r="I18" s="207">
        <v>5039</v>
      </c>
      <c r="J18" s="209">
        <v>4348</v>
      </c>
      <c r="K18" s="210">
        <v>46467</v>
      </c>
      <c r="L18" s="210"/>
      <c r="M18" s="210"/>
      <c r="N18" s="211">
        <v>54671</v>
      </c>
      <c r="O18" s="211"/>
      <c r="P18" s="211"/>
      <c r="Q18" s="210"/>
      <c r="R18" s="208"/>
      <c r="S18" s="225">
        <f t="shared" si="4"/>
        <v>0</v>
      </c>
      <c r="T18" s="229">
        <f t="shared" si="5"/>
        <v>0</v>
      </c>
      <c r="U18" s="207"/>
      <c r="V18" s="208"/>
      <c r="W18" s="207"/>
      <c r="X18" s="208"/>
      <c r="Y18" s="210"/>
      <c r="Z18" s="210"/>
      <c r="AA18" s="210"/>
      <c r="AB18" s="211"/>
      <c r="AC18" s="211"/>
      <c r="AD18" s="211"/>
      <c r="AE18" s="210"/>
      <c r="AF18" s="212"/>
    </row>
    <row r="19" spans="1:32" s="203" customFormat="1">
      <c r="A19" s="330" t="s">
        <v>134</v>
      </c>
      <c r="B19" s="242" t="s">
        <v>164</v>
      </c>
      <c r="C19" s="330">
        <v>101505</v>
      </c>
      <c r="D19" s="330">
        <v>8</v>
      </c>
      <c r="E19" s="225">
        <f t="shared" si="2"/>
        <v>167122</v>
      </c>
      <c r="F19" s="229">
        <f t="shared" si="3"/>
        <v>170457</v>
      </c>
      <c r="G19" s="226">
        <v>130313</v>
      </c>
      <c r="H19" s="201">
        <v>128110</v>
      </c>
      <c r="I19" s="226">
        <v>14041</v>
      </c>
      <c r="J19" s="201">
        <v>16470</v>
      </c>
      <c r="K19" s="228">
        <v>21225</v>
      </c>
      <c r="L19" s="228">
        <v>1543</v>
      </c>
      <c r="M19" s="228">
        <v>0</v>
      </c>
      <c r="N19" s="202">
        <v>24535</v>
      </c>
      <c r="O19" s="202">
        <v>1342</v>
      </c>
      <c r="P19" s="202">
        <v>0</v>
      </c>
      <c r="Q19" s="228"/>
      <c r="R19" s="201"/>
      <c r="S19" s="225">
        <f t="shared" si="4"/>
        <v>0</v>
      </c>
      <c r="T19" s="229">
        <f t="shared" si="5"/>
        <v>0</v>
      </c>
      <c r="U19" s="226"/>
      <c r="V19" s="201"/>
      <c r="W19" s="226"/>
      <c r="X19" s="201"/>
      <c r="Y19" s="228"/>
      <c r="Z19" s="228"/>
      <c r="AA19" s="228"/>
      <c r="AB19" s="202"/>
      <c r="AC19" s="202"/>
      <c r="AD19" s="202"/>
      <c r="AE19" s="228"/>
      <c r="AF19" s="240"/>
    </row>
    <row r="20" spans="1:32" s="203" customFormat="1">
      <c r="A20" s="330" t="s">
        <v>134</v>
      </c>
      <c r="B20" s="242" t="s">
        <v>165</v>
      </c>
      <c r="C20" s="330">
        <v>101514</v>
      </c>
      <c r="D20" s="330">
        <v>8</v>
      </c>
      <c r="E20" s="225">
        <f t="shared" si="2"/>
        <v>186195</v>
      </c>
      <c r="F20" s="229">
        <f t="shared" si="3"/>
        <v>204854</v>
      </c>
      <c r="G20" s="226">
        <v>162352</v>
      </c>
      <c r="H20" s="201">
        <v>182136</v>
      </c>
      <c r="I20" s="226">
        <v>3443</v>
      </c>
      <c r="J20" s="201">
        <v>2065</v>
      </c>
      <c r="K20" s="228">
        <v>20341</v>
      </c>
      <c r="L20" s="228">
        <v>0</v>
      </c>
      <c r="M20" s="228">
        <v>59</v>
      </c>
      <c r="N20" s="202">
        <v>20653</v>
      </c>
      <c r="O20" s="202">
        <v>0</v>
      </c>
      <c r="P20" s="202">
        <v>0</v>
      </c>
      <c r="Q20" s="228">
        <v>0</v>
      </c>
      <c r="R20" s="201">
        <v>0</v>
      </c>
      <c r="S20" s="225">
        <f t="shared" si="4"/>
        <v>0</v>
      </c>
      <c r="T20" s="229">
        <f t="shared" si="5"/>
        <v>0</v>
      </c>
      <c r="U20" s="226"/>
      <c r="V20" s="201"/>
      <c r="W20" s="226"/>
      <c r="X20" s="201"/>
      <c r="Y20" s="228"/>
      <c r="Z20" s="228"/>
      <c r="AA20" s="228"/>
      <c r="AB20" s="202"/>
      <c r="AC20" s="202"/>
      <c r="AD20" s="202"/>
      <c r="AE20" s="228"/>
      <c r="AF20" s="240"/>
    </row>
    <row r="21" spans="1:32" s="203" customFormat="1">
      <c r="A21" s="330" t="s">
        <v>134</v>
      </c>
      <c r="B21" s="242" t="s">
        <v>166</v>
      </c>
      <c r="C21" s="330">
        <v>102429</v>
      </c>
      <c r="D21" s="330">
        <v>9</v>
      </c>
      <c r="E21" s="225">
        <f t="shared" si="2"/>
        <v>106008</v>
      </c>
      <c r="F21" s="229">
        <f t="shared" si="3"/>
        <v>105907</v>
      </c>
      <c r="G21" s="226">
        <v>97107</v>
      </c>
      <c r="H21" s="201">
        <v>94473</v>
      </c>
      <c r="I21" s="226"/>
      <c r="J21" s="201">
        <v>0</v>
      </c>
      <c r="K21" s="228">
        <v>6018</v>
      </c>
      <c r="L21" s="228">
        <v>2618</v>
      </c>
      <c r="M21" s="228"/>
      <c r="N21" s="202">
        <v>7819</v>
      </c>
      <c r="O21" s="202">
        <v>3325</v>
      </c>
      <c r="P21" s="202">
        <v>0</v>
      </c>
      <c r="Q21" s="228">
        <v>265</v>
      </c>
      <c r="R21" s="201">
        <v>290</v>
      </c>
      <c r="S21" s="225">
        <f t="shared" si="4"/>
        <v>0</v>
      </c>
      <c r="T21" s="229">
        <f t="shared" si="5"/>
        <v>0</v>
      </c>
      <c r="U21" s="226"/>
      <c r="V21" s="201"/>
      <c r="W21" s="226"/>
      <c r="X21" s="201"/>
      <c r="Y21" s="228"/>
      <c r="Z21" s="228"/>
      <c r="AA21" s="228"/>
      <c r="AB21" s="202"/>
      <c r="AC21" s="202"/>
      <c r="AD21" s="202"/>
      <c r="AE21" s="228"/>
      <c r="AF21" s="240"/>
    </row>
    <row r="22" spans="1:32" s="203" customFormat="1">
      <c r="A22" s="330" t="s">
        <v>134</v>
      </c>
      <c r="B22" s="243" t="s">
        <v>167</v>
      </c>
      <c r="C22" s="330">
        <v>102030</v>
      </c>
      <c r="D22" s="330">
        <v>9</v>
      </c>
      <c r="E22" s="225">
        <f t="shared" si="2"/>
        <v>67731</v>
      </c>
      <c r="F22" s="229">
        <f t="shared" si="3"/>
        <v>58791</v>
      </c>
      <c r="G22" s="226">
        <v>55162</v>
      </c>
      <c r="H22" s="201">
        <v>47419</v>
      </c>
      <c r="I22" s="226">
        <v>5475</v>
      </c>
      <c r="J22" s="201">
        <v>5393</v>
      </c>
      <c r="K22" s="228">
        <v>7094</v>
      </c>
      <c r="L22" s="228"/>
      <c r="M22" s="228"/>
      <c r="N22" s="202">
        <v>5979</v>
      </c>
      <c r="O22" s="202"/>
      <c r="P22" s="202"/>
      <c r="Q22" s="228"/>
      <c r="R22" s="201"/>
      <c r="S22" s="225">
        <f t="shared" si="4"/>
        <v>0</v>
      </c>
      <c r="T22" s="229">
        <f t="shared" si="5"/>
        <v>0</v>
      </c>
      <c r="U22" s="226"/>
      <c r="V22" s="201"/>
      <c r="W22" s="226"/>
      <c r="X22" s="201"/>
      <c r="Y22" s="228"/>
      <c r="Z22" s="228"/>
      <c r="AA22" s="228"/>
      <c r="AB22" s="202"/>
      <c r="AC22" s="202"/>
      <c r="AD22" s="202"/>
      <c r="AE22" s="228"/>
      <c r="AF22" s="240"/>
    </row>
    <row r="23" spans="1:32" s="203" customFormat="1">
      <c r="A23" s="330" t="s">
        <v>134</v>
      </c>
      <c r="B23" s="331" t="s">
        <v>168</v>
      </c>
      <c r="C23" s="330">
        <v>101240</v>
      </c>
      <c r="D23" s="330">
        <v>9</v>
      </c>
      <c r="E23" s="225">
        <f t="shared" si="2"/>
        <v>135491</v>
      </c>
      <c r="F23" s="229">
        <f t="shared" si="3"/>
        <v>141648</v>
      </c>
      <c r="G23" s="226">
        <v>122986</v>
      </c>
      <c r="H23" s="201">
        <v>121170</v>
      </c>
      <c r="I23" s="226"/>
      <c r="J23" s="201">
        <v>0</v>
      </c>
      <c r="K23" s="228">
        <v>9158</v>
      </c>
      <c r="L23" s="228">
        <v>770</v>
      </c>
      <c r="M23" s="228">
        <v>2577</v>
      </c>
      <c r="N23" s="202">
        <v>20118</v>
      </c>
      <c r="O23" s="202">
        <v>360</v>
      </c>
      <c r="P23" s="202">
        <v>0</v>
      </c>
      <c r="Q23" s="228"/>
      <c r="R23" s="201"/>
      <c r="S23" s="225">
        <f t="shared" si="4"/>
        <v>0</v>
      </c>
      <c r="T23" s="229">
        <f t="shared" si="5"/>
        <v>0</v>
      </c>
      <c r="U23" s="226"/>
      <c r="V23" s="201"/>
      <c r="W23" s="226"/>
      <c r="X23" s="201"/>
      <c r="Y23" s="228"/>
      <c r="Z23" s="228"/>
      <c r="AA23" s="228"/>
      <c r="AB23" s="202"/>
      <c r="AC23" s="202"/>
      <c r="AD23" s="202"/>
      <c r="AE23" s="228"/>
      <c r="AF23" s="240"/>
    </row>
    <row r="24" spans="1:32" s="203" customFormat="1">
      <c r="A24" s="330" t="s">
        <v>134</v>
      </c>
      <c r="B24" s="242" t="s">
        <v>169</v>
      </c>
      <c r="C24" s="330">
        <v>101286</v>
      </c>
      <c r="D24" s="330">
        <v>9</v>
      </c>
      <c r="E24" s="225">
        <f t="shared" si="2"/>
        <v>91252</v>
      </c>
      <c r="F24" s="229">
        <f t="shared" si="3"/>
        <v>97308</v>
      </c>
      <c r="G24" s="226">
        <v>82163</v>
      </c>
      <c r="H24" s="201">
        <v>86236</v>
      </c>
      <c r="I24" s="226"/>
      <c r="J24" s="201"/>
      <c r="K24" s="228">
        <v>9089</v>
      </c>
      <c r="L24" s="228"/>
      <c r="M24" s="228"/>
      <c r="N24" s="202">
        <v>11072</v>
      </c>
      <c r="O24" s="202"/>
      <c r="P24" s="202"/>
      <c r="Q24" s="228"/>
      <c r="R24" s="201"/>
      <c r="S24" s="225">
        <f t="shared" si="4"/>
        <v>0</v>
      </c>
      <c r="T24" s="229">
        <f t="shared" si="5"/>
        <v>0</v>
      </c>
      <c r="U24" s="226"/>
      <c r="V24" s="201"/>
      <c r="W24" s="226"/>
      <c r="X24" s="201"/>
      <c r="Y24" s="228"/>
      <c r="Z24" s="228"/>
      <c r="AA24" s="228"/>
      <c r="AB24" s="202"/>
      <c r="AC24" s="202"/>
      <c r="AD24" s="202"/>
      <c r="AE24" s="228"/>
      <c r="AF24" s="240"/>
    </row>
    <row r="25" spans="1:32" s="203" customFormat="1">
      <c r="A25" s="330" t="s">
        <v>134</v>
      </c>
      <c r="B25" s="242" t="s">
        <v>170</v>
      </c>
      <c r="C25" s="330">
        <v>101161</v>
      </c>
      <c r="D25" s="330">
        <v>9</v>
      </c>
      <c r="E25" s="225">
        <f t="shared" si="2"/>
        <v>0</v>
      </c>
      <c r="F25" s="229">
        <f t="shared" si="3"/>
        <v>93048</v>
      </c>
      <c r="G25" s="226"/>
      <c r="H25" s="201">
        <v>78007</v>
      </c>
      <c r="I25" s="226"/>
      <c r="J25" s="201">
        <v>0</v>
      </c>
      <c r="K25" s="228"/>
      <c r="L25" s="228"/>
      <c r="M25" s="228"/>
      <c r="N25" s="202">
        <v>15041</v>
      </c>
      <c r="O25" s="202">
        <v>0</v>
      </c>
      <c r="P25" s="202">
        <v>0</v>
      </c>
      <c r="Q25" s="228"/>
      <c r="R25" s="201">
        <v>0</v>
      </c>
      <c r="S25" s="225">
        <f t="shared" si="4"/>
        <v>0</v>
      </c>
      <c r="T25" s="229">
        <f t="shared" si="5"/>
        <v>0</v>
      </c>
      <c r="U25" s="226"/>
      <c r="V25" s="201"/>
      <c r="W25" s="226"/>
      <c r="X25" s="201"/>
      <c r="Y25" s="228"/>
      <c r="Z25" s="228"/>
      <c r="AA25" s="228"/>
      <c r="AB25" s="202"/>
      <c r="AC25" s="202"/>
      <c r="AD25" s="202"/>
      <c r="AE25" s="228"/>
      <c r="AF25" s="240"/>
    </row>
    <row r="26" spans="1:32" s="203" customFormat="1">
      <c r="A26" s="330" t="s">
        <v>134</v>
      </c>
      <c r="B26" s="242" t="s">
        <v>171</v>
      </c>
      <c r="C26" s="330">
        <v>101569</v>
      </c>
      <c r="D26" s="330">
        <v>9</v>
      </c>
      <c r="E26" s="225">
        <f t="shared" si="2"/>
        <v>77595</v>
      </c>
      <c r="F26" s="229">
        <f t="shared" si="3"/>
        <v>82487</v>
      </c>
      <c r="G26" s="226">
        <v>73172</v>
      </c>
      <c r="H26" s="201">
        <v>78492</v>
      </c>
      <c r="I26" s="226"/>
      <c r="J26" s="201"/>
      <c r="K26" s="228">
        <v>2483</v>
      </c>
      <c r="L26" s="228">
        <v>1940</v>
      </c>
      <c r="M26" s="228"/>
      <c r="N26" s="202">
        <v>2237</v>
      </c>
      <c r="O26" s="202">
        <v>1758</v>
      </c>
      <c r="P26" s="202"/>
      <c r="Q26" s="228"/>
      <c r="R26" s="201"/>
      <c r="S26" s="225">
        <f t="shared" si="4"/>
        <v>0</v>
      </c>
      <c r="T26" s="229">
        <f t="shared" si="5"/>
        <v>0</v>
      </c>
      <c r="U26" s="226"/>
      <c r="V26" s="201"/>
      <c r="W26" s="226"/>
      <c r="X26" s="201"/>
      <c r="Y26" s="228"/>
      <c r="Z26" s="228"/>
      <c r="AA26" s="228"/>
      <c r="AB26" s="202"/>
      <c r="AC26" s="202"/>
      <c r="AD26" s="202"/>
      <c r="AE26" s="228"/>
      <c r="AF26" s="240"/>
    </row>
    <row r="27" spans="1:32" s="203" customFormat="1">
      <c r="A27" s="330" t="s">
        <v>134</v>
      </c>
      <c r="B27" s="242" t="s">
        <v>172</v>
      </c>
      <c r="C27" s="330">
        <v>101736</v>
      </c>
      <c r="D27" s="330">
        <v>9</v>
      </c>
      <c r="E27" s="225">
        <f t="shared" si="2"/>
        <v>84486</v>
      </c>
      <c r="F27" s="229">
        <f t="shared" si="3"/>
        <v>87257</v>
      </c>
      <c r="G27" s="226">
        <v>73607</v>
      </c>
      <c r="H27" s="201">
        <v>68424</v>
      </c>
      <c r="I27" s="226">
        <v>2948</v>
      </c>
      <c r="J27" s="201">
        <v>8875</v>
      </c>
      <c r="K27" s="228">
        <v>7061</v>
      </c>
      <c r="L27" s="228">
        <v>870</v>
      </c>
      <c r="M27" s="228"/>
      <c r="N27" s="202">
        <v>8875</v>
      </c>
      <c r="O27" s="202">
        <v>1083</v>
      </c>
      <c r="P27" s="202"/>
      <c r="Q27" s="228"/>
      <c r="R27" s="201"/>
      <c r="S27" s="225">
        <f t="shared" si="4"/>
        <v>0</v>
      </c>
      <c r="T27" s="229">
        <f t="shared" si="5"/>
        <v>0</v>
      </c>
      <c r="U27" s="226"/>
      <c r="V27" s="201"/>
      <c r="W27" s="226"/>
      <c r="X27" s="201"/>
      <c r="Y27" s="228"/>
      <c r="Z27" s="228"/>
      <c r="AA27" s="228"/>
      <c r="AB27" s="202"/>
      <c r="AC27" s="202"/>
      <c r="AD27" s="202"/>
      <c r="AE27" s="228"/>
      <c r="AF27" s="240"/>
    </row>
    <row r="28" spans="1:32" s="203" customFormat="1">
      <c r="A28" s="330" t="s">
        <v>134</v>
      </c>
      <c r="B28" s="242" t="s">
        <v>173</v>
      </c>
      <c r="C28" s="330">
        <v>102067</v>
      </c>
      <c r="D28" s="330">
        <v>9</v>
      </c>
      <c r="E28" s="225">
        <f t="shared" si="2"/>
        <v>132509</v>
      </c>
      <c r="F28" s="229">
        <f t="shared" si="3"/>
        <v>130394</v>
      </c>
      <c r="G28" s="226">
        <v>122298</v>
      </c>
      <c r="H28" s="201">
        <v>121534</v>
      </c>
      <c r="I28" s="226"/>
      <c r="J28" s="201"/>
      <c r="K28" s="228">
        <v>10211</v>
      </c>
      <c r="L28" s="228"/>
      <c r="M28" s="228"/>
      <c r="N28" s="202">
        <v>8860</v>
      </c>
      <c r="O28" s="202"/>
      <c r="P28" s="202"/>
      <c r="Q28" s="228"/>
      <c r="R28" s="201"/>
      <c r="S28" s="225">
        <f t="shared" si="4"/>
        <v>0</v>
      </c>
      <c r="T28" s="229">
        <f t="shared" si="5"/>
        <v>0</v>
      </c>
      <c r="U28" s="226"/>
      <c r="V28" s="201"/>
      <c r="W28" s="226"/>
      <c r="X28" s="201"/>
      <c r="Y28" s="228"/>
      <c r="Z28" s="228"/>
      <c r="AA28" s="228"/>
      <c r="AB28" s="202"/>
      <c r="AC28" s="202"/>
      <c r="AD28" s="202"/>
      <c r="AE28" s="228"/>
      <c r="AF28" s="240"/>
    </row>
    <row r="29" spans="1:32" s="203" customFormat="1">
      <c r="A29" s="330" t="s">
        <v>134</v>
      </c>
      <c r="B29" s="242" t="s">
        <v>174</v>
      </c>
      <c r="C29" s="330">
        <v>251260</v>
      </c>
      <c r="D29" s="330">
        <v>9</v>
      </c>
      <c r="E29" s="225">
        <f t="shared" si="2"/>
        <v>126868</v>
      </c>
      <c r="F29" s="229">
        <f t="shared" si="3"/>
        <v>130034</v>
      </c>
      <c r="G29" s="226">
        <v>114189</v>
      </c>
      <c r="H29" s="201">
        <v>115675</v>
      </c>
      <c r="I29" s="226">
        <v>10</v>
      </c>
      <c r="J29" s="201">
        <v>0</v>
      </c>
      <c r="K29" s="228">
        <v>8985</v>
      </c>
      <c r="L29" s="228">
        <v>1226</v>
      </c>
      <c r="M29" s="228">
        <v>0</v>
      </c>
      <c r="N29" s="202">
        <v>11010</v>
      </c>
      <c r="O29" s="202"/>
      <c r="P29" s="202"/>
      <c r="Q29" s="228">
        <v>2458</v>
      </c>
      <c r="R29" s="201">
        <v>3349</v>
      </c>
      <c r="S29" s="225">
        <f t="shared" si="4"/>
        <v>0</v>
      </c>
      <c r="T29" s="229">
        <f t="shared" si="5"/>
        <v>0</v>
      </c>
      <c r="U29" s="226"/>
      <c r="V29" s="201"/>
      <c r="W29" s="226"/>
      <c r="X29" s="201"/>
      <c r="Y29" s="228"/>
      <c r="Z29" s="228"/>
      <c r="AA29" s="228"/>
      <c r="AB29" s="202"/>
      <c r="AC29" s="202"/>
      <c r="AD29" s="202"/>
      <c r="AE29" s="228"/>
      <c r="AF29" s="240"/>
    </row>
    <row r="30" spans="1:32" s="203" customFormat="1">
      <c r="A30" s="330" t="s">
        <v>134</v>
      </c>
      <c r="B30" s="242" t="s">
        <v>175</v>
      </c>
      <c r="C30" s="330">
        <v>101295</v>
      </c>
      <c r="D30" s="330">
        <v>9</v>
      </c>
      <c r="E30" s="225">
        <f t="shared" si="2"/>
        <v>134360</v>
      </c>
      <c r="F30" s="229">
        <f t="shared" si="3"/>
        <v>141796</v>
      </c>
      <c r="G30" s="226">
        <v>114282</v>
      </c>
      <c r="H30" s="201">
        <v>115069</v>
      </c>
      <c r="I30" s="226">
        <v>3373</v>
      </c>
      <c r="J30" s="201">
        <v>6220</v>
      </c>
      <c r="K30" s="228">
        <v>16457</v>
      </c>
      <c r="L30" s="228">
        <v>248</v>
      </c>
      <c r="M30" s="228"/>
      <c r="N30" s="202">
        <v>19935</v>
      </c>
      <c r="O30" s="202">
        <v>239</v>
      </c>
      <c r="P30" s="202">
        <v>54</v>
      </c>
      <c r="Q30" s="228"/>
      <c r="R30" s="201">
        <v>279</v>
      </c>
      <c r="S30" s="225">
        <f t="shared" si="4"/>
        <v>0</v>
      </c>
      <c r="T30" s="229">
        <f t="shared" si="5"/>
        <v>0</v>
      </c>
      <c r="U30" s="226"/>
      <c r="V30" s="201"/>
      <c r="W30" s="226"/>
      <c r="X30" s="201"/>
      <c r="Y30" s="228"/>
      <c r="Z30" s="228"/>
      <c r="AA30" s="228"/>
      <c r="AB30" s="202"/>
      <c r="AC30" s="202"/>
      <c r="AD30" s="202"/>
      <c r="AE30" s="228"/>
      <c r="AF30" s="240"/>
    </row>
    <row r="31" spans="1:32" s="203" customFormat="1">
      <c r="A31" s="330" t="s">
        <v>134</v>
      </c>
      <c r="B31" s="242" t="s">
        <v>176</v>
      </c>
      <c r="C31" s="330">
        <v>101949</v>
      </c>
      <c r="D31" s="330">
        <v>10</v>
      </c>
      <c r="E31" s="225">
        <f t="shared" si="2"/>
        <v>33148</v>
      </c>
      <c r="F31" s="229">
        <f t="shared" si="3"/>
        <v>33436</v>
      </c>
      <c r="G31" s="226">
        <v>31739</v>
      </c>
      <c r="H31" s="201">
        <v>32128</v>
      </c>
      <c r="I31" s="226">
        <v>0</v>
      </c>
      <c r="J31" s="201">
        <v>0</v>
      </c>
      <c r="K31" s="228">
        <v>1283</v>
      </c>
      <c r="L31" s="228">
        <v>126</v>
      </c>
      <c r="M31" s="228">
        <v>0</v>
      </c>
      <c r="N31" s="202">
        <v>1308</v>
      </c>
      <c r="O31" s="202">
        <v>0</v>
      </c>
      <c r="P31" s="202">
        <v>0</v>
      </c>
      <c r="Q31" s="228">
        <v>0</v>
      </c>
      <c r="R31" s="201"/>
      <c r="S31" s="225">
        <f t="shared" si="4"/>
        <v>0</v>
      </c>
      <c r="T31" s="229">
        <f t="shared" si="5"/>
        <v>0</v>
      </c>
      <c r="U31" s="226"/>
      <c r="V31" s="201"/>
      <c r="W31" s="226"/>
      <c r="X31" s="201"/>
      <c r="Y31" s="228"/>
      <c r="Z31" s="228"/>
      <c r="AA31" s="228"/>
      <c r="AB31" s="202"/>
      <c r="AC31" s="202"/>
      <c r="AD31" s="202"/>
      <c r="AE31" s="228"/>
      <c r="AF31" s="240"/>
    </row>
    <row r="32" spans="1:32" s="203" customFormat="1">
      <c r="A32" s="330" t="s">
        <v>134</v>
      </c>
      <c r="B32" s="242" t="s">
        <v>177</v>
      </c>
      <c r="C32" s="330">
        <v>100760</v>
      </c>
      <c r="D32" s="330">
        <v>10</v>
      </c>
      <c r="E32" s="225">
        <f t="shared" si="2"/>
        <v>57067</v>
      </c>
      <c r="F32" s="229">
        <f t="shared" si="3"/>
        <v>57233</v>
      </c>
      <c r="G32" s="226">
        <v>49997</v>
      </c>
      <c r="H32" s="201">
        <v>49454</v>
      </c>
      <c r="I32" s="226">
        <v>0</v>
      </c>
      <c r="J32" s="201"/>
      <c r="K32" s="228">
        <v>6957</v>
      </c>
      <c r="L32" s="228"/>
      <c r="M32" s="228"/>
      <c r="N32" s="202">
        <v>7779</v>
      </c>
      <c r="O32" s="202"/>
      <c r="P32" s="202"/>
      <c r="Q32" s="228">
        <v>113</v>
      </c>
      <c r="R32" s="201"/>
      <c r="S32" s="225">
        <f t="shared" si="4"/>
        <v>0</v>
      </c>
      <c r="T32" s="229">
        <f t="shared" si="5"/>
        <v>0</v>
      </c>
      <c r="U32" s="226"/>
      <c r="V32" s="201"/>
      <c r="W32" s="226"/>
      <c r="X32" s="201"/>
      <c r="Y32" s="228"/>
      <c r="Z32" s="228"/>
      <c r="AA32" s="228"/>
      <c r="AB32" s="202"/>
      <c r="AC32" s="202"/>
      <c r="AD32" s="202"/>
      <c r="AE32" s="228"/>
      <c r="AF32" s="240"/>
    </row>
    <row r="33" spans="1:32" s="203" customFormat="1">
      <c r="A33" s="330" t="s">
        <v>134</v>
      </c>
      <c r="B33" s="242" t="s">
        <v>178</v>
      </c>
      <c r="C33" s="330">
        <v>101028</v>
      </c>
      <c r="D33" s="330">
        <v>10</v>
      </c>
      <c r="E33" s="225">
        <f t="shared" si="2"/>
        <v>0</v>
      </c>
      <c r="F33" s="229">
        <f t="shared" si="3"/>
        <v>42959</v>
      </c>
      <c r="G33" s="226"/>
      <c r="H33" s="201">
        <v>38343</v>
      </c>
      <c r="I33" s="226"/>
      <c r="J33" s="201">
        <v>0</v>
      </c>
      <c r="K33" s="228"/>
      <c r="L33" s="228"/>
      <c r="M33" s="228"/>
      <c r="N33" s="202">
        <v>4616</v>
      </c>
      <c r="O33" s="202">
        <v>0</v>
      </c>
      <c r="P33" s="202">
        <v>0</v>
      </c>
      <c r="Q33" s="228"/>
      <c r="R33" s="201">
        <v>0</v>
      </c>
      <c r="S33" s="225">
        <f t="shared" si="4"/>
        <v>0</v>
      </c>
      <c r="T33" s="229">
        <f t="shared" si="5"/>
        <v>0</v>
      </c>
      <c r="U33" s="226"/>
      <c r="V33" s="201"/>
      <c r="W33" s="226"/>
      <c r="X33" s="201"/>
      <c r="Y33" s="228"/>
      <c r="Z33" s="228"/>
      <c r="AA33" s="228"/>
      <c r="AB33" s="202"/>
      <c r="AC33" s="202"/>
      <c r="AD33" s="202"/>
      <c r="AE33" s="228"/>
      <c r="AF33" s="240"/>
    </row>
    <row r="34" spans="1:32" s="203" customFormat="1">
      <c r="A34" s="330" t="s">
        <v>134</v>
      </c>
      <c r="B34" s="242" t="s">
        <v>179</v>
      </c>
      <c r="C34" s="330">
        <v>101143</v>
      </c>
      <c r="D34" s="330">
        <v>10</v>
      </c>
      <c r="E34" s="225">
        <f t="shared" si="2"/>
        <v>53629</v>
      </c>
      <c r="F34" s="229">
        <f t="shared" si="3"/>
        <v>59954</v>
      </c>
      <c r="G34" s="226">
        <v>47125</v>
      </c>
      <c r="H34" s="201">
        <v>52506</v>
      </c>
      <c r="I34" s="226">
        <v>1438</v>
      </c>
      <c r="J34" s="201">
        <v>1556</v>
      </c>
      <c r="K34" s="228">
        <v>5066</v>
      </c>
      <c r="L34" s="228">
        <v>0</v>
      </c>
      <c r="M34" s="228">
        <v>0</v>
      </c>
      <c r="N34" s="202">
        <v>5892</v>
      </c>
      <c r="O34" s="202"/>
      <c r="P34" s="202"/>
      <c r="Q34" s="228">
        <v>0</v>
      </c>
      <c r="R34" s="201">
        <v>0</v>
      </c>
      <c r="S34" s="225">
        <f t="shared" si="4"/>
        <v>0</v>
      </c>
      <c r="T34" s="229">
        <f t="shared" si="5"/>
        <v>0</v>
      </c>
      <c r="U34" s="226">
        <v>0</v>
      </c>
      <c r="V34" s="201"/>
      <c r="W34" s="226">
        <v>0</v>
      </c>
      <c r="X34" s="201"/>
      <c r="Y34" s="228">
        <v>0</v>
      </c>
      <c r="Z34" s="228">
        <v>0</v>
      </c>
      <c r="AA34" s="228">
        <v>0</v>
      </c>
      <c r="AB34" s="202"/>
      <c r="AC34" s="202"/>
      <c r="AD34" s="202"/>
      <c r="AE34" s="228">
        <v>0</v>
      </c>
      <c r="AF34" s="240"/>
    </row>
    <row r="35" spans="1:32" s="203" customFormat="1">
      <c r="A35" s="330" t="s">
        <v>134</v>
      </c>
      <c r="B35" s="242" t="s">
        <v>180</v>
      </c>
      <c r="C35" s="330">
        <v>101301</v>
      </c>
      <c r="D35" s="330">
        <v>10</v>
      </c>
      <c r="E35" s="225">
        <f t="shared" si="2"/>
        <v>47745</v>
      </c>
      <c r="F35" s="229">
        <f t="shared" si="3"/>
        <v>52513</v>
      </c>
      <c r="G35" s="226">
        <f>47745-K35</f>
        <v>32321</v>
      </c>
      <c r="H35" s="201">
        <v>33168</v>
      </c>
      <c r="I35" s="226"/>
      <c r="J35" s="201"/>
      <c r="K35" s="228">
        <f>4160+5581+5683</f>
        <v>15424</v>
      </c>
      <c r="L35" s="228"/>
      <c r="M35" s="228"/>
      <c r="N35" s="202">
        <v>19345</v>
      </c>
      <c r="O35" s="202"/>
      <c r="P35" s="202"/>
      <c r="Q35" s="228"/>
      <c r="R35" s="201">
        <v>0</v>
      </c>
      <c r="S35" s="225">
        <f t="shared" si="4"/>
        <v>0</v>
      </c>
      <c r="T35" s="229">
        <f t="shared" si="5"/>
        <v>0</v>
      </c>
      <c r="U35" s="226"/>
      <c r="V35" s="201"/>
      <c r="W35" s="226"/>
      <c r="X35" s="201"/>
      <c r="Y35" s="228"/>
      <c r="Z35" s="228"/>
      <c r="AA35" s="228"/>
      <c r="AB35" s="202"/>
      <c r="AC35" s="202"/>
      <c r="AD35" s="202"/>
      <c r="AE35" s="228"/>
      <c r="AF35" s="240"/>
    </row>
    <row r="36" spans="1:32" s="203" customFormat="1">
      <c r="A36" s="330" t="s">
        <v>134</v>
      </c>
      <c r="B36" s="242" t="s">
        <v>181</v>
      </c>
      <c r="C36" s="330">
        <v>101499</v>
      </c>
      <c r="D36" s="330">
        <v>10</v>
      </c>
      <c r="E36" s="225">
        <f t="shared" si="2"/>
        <v>32630</v>
      </c>
      <c r="F36" s="229">
        <f t="shared" si="3"/>
        <v>31326</v>
      </c>
      <c r="G36" s="226">
        <v>30881</v>
      </c>
      <c r="H36" s="201">
        <v>29444</v>
      </c>
      <c r="I36" s="226">
        <v>102</v>
      </c>
      <c r="J36" s="201">
        <v>40</v>
      </c>
      <c r="K36" s="228">
        <v>1647</v>
      </c>
      <c r="L36" s="228"/>
      <c r="M36" s="228"/>
      <c r="N36" s="202">
        <v>1842</v>
      </c>
      <c r="O36" s="202"/>
      <c r="P36" s="202"/>
      <c r="Q36" s="228"/>
      <c r="R36" s="201"/>
      <c r="S36" s="225">
        <f t="shared" si="4"/>
        <v>0</v>
      </c>
      <c r="T36" s="229">
        <f t="shared" si="5"/>
        <v>0</v>
      </c>
      <c r="U36" s="226"/>
      <c r="V36" s="201"/>
      <c r="W36" s="226"/>
      <c r="X36" s="201"/>
      <c r="Y36" s="228"/>
      <c r="Z36" s="228"/>
      <c r="AA36" s="228"/>
      <c r="AB36" s="202"/>
      <c r="AC36" s="202"/>
      <c r="AD36" s="202"/>
      <c r="AE36" s="228"/>
      <c r="AF36" s="240"/>
    </row>
    <row r="37" spans="1:32" s="203" customFormat="1">
      <c r="A37" s="330" t="s">
        <v>134</v>
      </c>
      <c r="B37" s="242" t="s">
        <v>182</v>
      </c>
      <c r="C37" s="330">
        <v>101602</v>
      </c>
      <c r="D37" s="330">
        <v>10</v>
      </c>
      <c r="E37" s="225">
        <f t="shared" si="2"/>
        <v>40555</v>
      </c>
      <c r="F37" s="229">
        <f t="shared" si="3"/>
        <v>42073</v>
      </c>
      <c r="G37" s="226">
        <v>38495</v>
      </c>
      <c r="H37" s="201">
        <v>38989</v>
      </c>
      <c r="I37" s="226"/>
      <c r="J37" s="201"/>
      <c r="K37" s="228">
        <v>2060</v>
      </c>
      <c r="L37" s="228"/>
      <c r="M37" s="228"/>
      <c r="N37" s="202">
        <v>3084</v>
      </c>
      <c r="O37" s="202"/>
      <c r="P37" s="202"/>
      <c r="Q37" s="228"/>
      <c r="R37" s="201"/>
      <c r="S37" s="225">
        <f t="shared" si="4"/>
        <v>0</v>
      </c>
      <c r="T37" s="229">
        <f t="shared" si="5"/>
        <v>0</v>
      </c>
      <c r="U37" s="226"/>
      <c r="V37" s="201"/>
      <c r="W37" s="226"/>
      <c r="X37" s="201"/>
      <c r="Y37" s="228"/>
      <c r="Z37" s="228"/>
      <c r="AA37" s="228"/>
      <c r="AB37" s="202"/>
      <c r="AC37" s="202"/>
      <c r="AD37" s="202"/>
      <c r="AE37" s="228"/>
      <c r="AF37" s="240"/>
    </row>
    <row r="38" spans="1:32" s="203" customFormat="1">
      <c r="A38" s="330" t="s">
        <v>134</v>
      </c>
      <c r="B38" s="243" t="s">
        <v>183</v>
      </c>
      <c r="C38" s="330">
        <v>101897</v>
      </c>
      <c r="D38" s="330">
        <v>10</v>
      </c>
      <c r="E38" s="225">
        <f t="shared" si="2"/>
        <v>58078</v>
      </c>
      <c r="F38" s="229">
        <f t="shared" si="3"/>
        <v>62832</v>
      </c>
      <c r="G38" s="226">
        <v>47382</v>
      </c>
      <c r="H38" s="201">
        <v>49658</v>
      </c>
      <c r="I38" s="226" t="s">
        <v>196</v>
      </c>
      <c r="J38" s="201"/>
      <c r="K38" s="228">
        <v>10696</v>
      </c>
      <c r="L38" s="228"/>
      <c r="M38" s="228"/>
      <c r="N38" s="202">
        <v>13174</v>
      </c>
      <c r="O38" s="202"/>
      <c r="P38" s="202"/>
      <c r="Q38" s="228"/>
      <c r="R38" s="201"/>
      <c r="S38" s="225">
        <f t="shared" si="4"/>
        <v>0</v>
      </c>
      <c r="T38" s="229">
        <f t="shared" si="5"/>
        <v>0</v>
      </c>
      <c r="U38" s="226"/>
      <c r="V38" s="201"/>
      <c r="W38" s="226"/>
      <c r="X38" s="201"/>
      <c r="Y38" s="228"/>
      <c r="Z38" s="228"/>
      <c r="AA38" s="228"/>
      <c r="AB38" s="202"/>
      <c r="AC38" s="202"/>
      <c r="AD38" s="202"/>
      <c r="AE38" s="228"/>
      <c r="AF38" s="240"/>
    </row>
    <row r="39" spans="1:32" s="203" customFormat="1">
      <c r="A39" s="330" t="s">
        <v>134</v>
      </c>
      <c r="B39" s="242" t="s">
        <v>184</v>
      </c>
      <c r="C39" s="330">
        <v>102076</v>
      </c>
      <c r="D39" s="330">
        <v>10</v>
      </c>
      <c r="E39" s="225">
        <f t="shared" si="2"/>
        <v>51425</v>
      </c>
      <c r="F39" s="229">
        <f t="shared" si="3"/>
        <v>53690</v>
      </c>
      <c r="G39" s="226">
        <v>33336</v>
      </c>
      <c r="H39" s="201">
        <v>35281</v>
      </c>
      <c r="I39" s="226"/>
      <c r="J39" s="201">
        <v>0</v>
      </c>
      <c r="K39" s="228">
        <v>18089</v>
      </c>
      <c r="L39" s="228"/>
      <c r="M39" s="228"/>
      <c r="N39" s="202">
        <v>18409</v>
      </c>
      <c r="O39" s="202">
        <v>0</v>
      </c>
      <c r="P39" s="202">
        <v>0</v>
      </c>
      <c r="Q39" s="228"/>
      <c r="R39" s="201">
        <v>0</v>
      </c>
      <c r="S39" s="225">
        <f t="shared" si="4"/>
        <v>0</v>
      </c>
      <c r="T39" s="229">
        <f t="shared" si="5"/>
        <v>0</v>
      </c>
      <c r="U39" s="226"/>
      <c r="V39" s="201"/>
      <c r="W39" s="226"/>
      <c r="X39" s="201"/>
      <c r="Y39" s="228"/>
      <c r="Z39" s="228"/>
      <c r="AA39" s="228"/>
      <c r="AB39" s="202"/>
      <c r="AC39" s="202"/>
      <c r="AD39" s="202"/>
      <c r="AE39" s="228"/>
      <c r="AF39" s="240"/>
    </row>
    <row r="40" spans="1:32" s="203" customFormat="1">
      <c r="A40" s="330" t="s">
        <v>134</v>
      </c>
      <c r="B40" s="331" t="s">
        <v>185</v>
      </c>
      <c r="C40" s="330">
        <v>102313</v>
      </c>
      <c r="D40" s="330">
        <v>12</v>
      </c>
      <c r="E40" s="225">
        <f t="shared" si="2"/>
        <v>36216</v>
      </c>
      <c r="F40" s="229">
        <f t="shared" si="3"/>
        <v>36758</v>
      </c>
      <c r="G40" s="226">
        <v>32240</v>
      </c>
      <c r="H40" s="201">
        <v>33638</v>
      </c>
      <c r="I40" s="226">
        <v>249</v>
      </c>
      <c r="J40" s="201">
        <v>0</v>
      </c>
      <c r="K40" s="228">
        <v>2490</v>
      </c>
      <c r="L40" s="228">
        <v>244</v>
      </c>
      <c r="M40" s="228">
        <v>993</v>
      </c>
      <c r="N40" s="202">
        <v>2255</v>
      </c>
      <c r="O40" s="202">
        <v>45</v>
      </c>
      <c r="P40" s="202">
        <v>820</v>
      </c>
      <c r="Q40" s="228"/>
      <c r="R40" s="201">
        <v>0</v>
      </c>
      <c r="S40" s="225">
        <f t="shared" si="4"/>
        <v>0</v>
      </c>
      <c r="T40" s="229">
        <f t="shared" si="5"/>
        <v>0</v>
      </c>
      <c r="U40" s="226"/>
      <c r="V40" s="201"/>
      <c r="W40" s="226"/>
      <c r="X40" s="201"/>
      <c r="Y40" s="228"/>
      <c r="Z40" s="228"/>
      <c r="AA40" s="228"/>
      <c r="AB40" s="202"/>
      <c r="AC40" s="202"/>
      <c r="AD40" s="202"/>
      <c r="AE40" s="228"/>
      <c r="AF40" s="240"/>
    </row>
    <row r="41" spans="1:32" s="203" customFormat="1">
      <c r="A41" s="330" t="s">
        <v>134</v>
      </c>
      <c r="B41" s="242" t="s">
        <v>186</v>
      </c>
      <c r="C41" s="330">
        <v>101462</v>
      </c>
      <c r="D41" s="330">
        <v>13</v>
      </c>
      <c r="E41" s="225">
        <f t="shared" si="2"/>
        <v>0</v>
      </c>
      <c r="F41" s="229">
        <f t="shared" si="3"/>
        <v>0</v>
      </c>
      <c r="G41" s="226"/>
      <c r="H41" s="460" t="s">
        <v>878</v>
      </c>
      <c r="I41" s="226"/>
      <c r="J41" s="201"/>
      <c r="K41" s="228"/>
      <c r="L41" s="228"/>
      <c r="M41" s="228"/>
      <c r="N41" s="202"/>
      <c r="O41" s="202"/>
      <c r="P41" s="202"/>
      <c r="Q41" s="228"/>
      <c r="R41" s="201"/>
      <c r="S41" s="225">
        <f t="shared" si="4"/>
        <v>0</v>
      </c>
      <c r="T41" s="229">
        <f t="shared" si="5"/>
        <v>0</v>
      </c>
      <c r="U41" s="226"/>
      <c r="V41" s="201"/>
      <c r="W41" s="226"/>
      <c r="X41" s="201"/>
      <c r="Y41" s="228"/>
      <c r="Z41" s="228"/>
      <c r="AA41" s="228"/>
      <c r="AB41" s="202"/>
      <c r="AC41" s="202"/>
      <c r="AD41" s="202"/>
      <c r="AE41" s="228"/>
      <c r="AF41" s="240"/>
    </row>
    <row r="42" spans="1:32" s="203" customFormat="1">
      <c r="A42" s="330" t="s">
        <v>134</v>
      </c>
      <c r="B42" s="242" t="s">
        <v>187</v>
      </c>
      <c r="C42" s="330">
        <v>101471</v>
      </c>
      <c r="D42" s="330">
        <v>13</v>
      </c>
      <c r="E42" s="225">
        <f t="shared" si="2"/>
        <v>0</v>
      </c>
      <c r="F42" s="229">
        <f t="shared" si="3"/>
        <v>0</v>
      </c>
      <c r="G42" s="226"/>
      <c r="H42" s="460" t="s">
        <v>878</v>
      </c>
      <c r="I42" s="226"/>
      <c r="J42" s="201"/>
      <c r="K42" s="228"/>
      <c r="L42" s="228"/>
      <c r="M42" s="228"/>
      <c r="N42" s="202"/>
      <c r="O42" s="202"/>
      <c r="P42" s="202"/>
      <c r="Q42" s="228"/>
      <c r="R42" s="201"/>
      <c r="S42" s="225">
        <f t="shared" si="4"/>
        <v>0</v>
      </c>
      <c r="T42" s="229">
        <f t="shared" si="5"/>
        <v>0</v>
      </c>
      <c r="U42" s="226"/>
      <c r="V42" s="201"/>
      <c r="W42" s="226"/>
      <c r="X42" s="201"/>
      <c r="Y42" s="228"/>
      <c r="Z42" s="228"/>
      <c r="AA42" s="228"/>
      <c r="AB42" s="202"/>
      <c r="AC42" s="202"/>
      <c r="AD42" s="202"/>
      <c r="AE42" s="228"/>
      <c r="AF42" s="240"/>
    </row>
    <row r="43" spans="1:32" s="203" customFormat="1">
      <c r="A43" s="330" t="s">
        <v>134</v>
      </c>
      <c r="B43" s="242" t="s">
        <v>188</v>
      </c>
      <c r="C43" s="330">
        <v>101994</v>
      </c>
      <c r="D43" s="330">
        <v>13</v>
      </c>
      <c r="E43" s="225">
        <f t="shared" si="2"/>
        <v>14398</v>
      </c>
      <c r="F43" s="229">
        <f t="shared" si="3"/>
        <v>15632</v>
      </c>
      <c r="G43" s="226">
        <v>14398</v>
      </c>
      <c r="H43" s="201">
        <v>15632</v>
      </c>
      <c r="I43" s="226">
        <v>0</v>
      </c>
      <c r="J43" s="201">
        <v>0</v>
      </c>
      <c r="K43" s="228">
        <v>0</v>
      </c>
      <c r="L43" s="228">
        <v>0</v>
      </c>
      <c r="M43" s="228">
        <v>0</v>
      </c>
      <c r="N43" s="202">
        <v>0</v>
      </c>
      <c r="O43" s="202">
        <v>0</v>
      </c>
      <c r="P43" s="202">
        <v>0</v>
      </c>
      <c r="Q43" s="228">
        <v>0</v>
      </c>
      <c r="R43" s="201">
        <v>0</v>
      </c>
      <c r="S43" s="225">
        <f t="shared" si="4"/>
        <v>0</v>
      </c>
      <c r="T43" s="229">
        <f t="shared" si="5"/>
        <v>0</v>
      </c>
      <c r="U43" s="226"/>
      <c r="V43" s="201"/>
      <c r="W43" s="226"/>
      <c r="X43" s="201"/>
      <c r="Y43" s="228"/>
      <c r="Z43" s="228"/>
      <c r="AA43" s="228"/>
      <c r="AB43" s="202"/>
      <c r="AC43" s="202"/>
      <c r="AD43" s="202"/>
      <c r="AE43" s="228"/>
      <c r="AF43" s="240"/>
    </row>
    <row r="44" spans="1:32" s="203" customFormat="1">
      <c r="A44" s="245" t="s">
        <v>129</v>
      </c>
      <c r="B44" s="332" t="s">
        <v>273</v>
      </c>
      <c r="C44" s="245">
        <v>106397</v>
      </c>
      <c r="D44" s="245">
        <v>1</v>
      </c>
      <c r="E44" s="225">
        <f t="shared" si="2"/>
        <v>410119</v>
      </c>
      <c r="F44" s="229">
        <f t="shared" si="3"/>
        <v>428450</v>
      </c>
      <c r="G44" s="226">
        <v>394817</v>
      </c>
      <c r="H44" s="522">
        <v>409776</v>
      </c>
      <c r="I44" s="226">
        <v>9153</v>
      </c>
      <c r="J44" s="522">
        <v>10738</v>
      </c>
      <c r="K44" s="501">
        <v>4978</v>
      </c>
      <c r="L44" s="501">
        <v>1111</v>
      </c>
      <c r="M44" s="501">
        <v>60</v>
      </c>
      <c r="N44" s="523">
        <v>7057</v>
      </c>
      <c r="O44" s="523">
        <v>744</v>
      </c>
      <c r="P44" s="523">
        <v>135</v>
      </c>
      <c r="Q44" s="228"/>
      <c r="R44" s="201"/>
      <c r="S44" s="225">
        <f t="shared" si="4"/>
        <v>68212</v>
      </c>
      <c r="T44" s="229">
        <f t="shared" si="5"/>
        <v>69769</v>
      </c>
      <c r="U44" s="387">
        <v>54157</v>
      </c>
      <c r="V44" s="522">
        <v>53775</v>
      </c>
      <c r="W44" s="226">
        <v>4060</v>
      </c>
      <c r="X44" s="522">
        <v>3692</v>
      </c>
      <c r="Y44" s="228">
        <v>7949</v>
      </c>
      <c r="Z44" s="228">
        <v>318</v>
      </c>
      <c r="AA44" s="228">
        <v>1728</v>
      </c>
      <c r="AB44" s="523">
        <v>10067</v>
      </c>
      <c r="AC44" s="523">
        <v>192</v>
      </c>
      <c r="AD44" s="523">
        <v>2043</v>
      </c>
      <c r="AE44" s="228"/>
      <c r="AF44" s="240"/>
    </row>
    <row r="45" spans="1:32" s="203" customFormat="1">
      <c r="A45" s="245" t="s">
        <v>129</v>
      </c>
      <c r="B45" s="332" t="s">
        <v>274</v>
      </c>
      <c r="C45" s="245">
        <v>106458</v>
      </c>
      <c r="D45" s="245">
        <v>3</v>
      </c>
      <c r="E45" s="225">
        <f t="shared" si="2"/>
        <v>251807</v>
      </c>
      <c r="F45" s="229">
        <f t="shared" si="3"/>
        <v>259830</v>
      </c>
      <c r="G45" s="226">
        <v>200839</v>
      </c>
      <c r="H45" s="522">
        <v>203267</v>
      </c>
      <c r="I45" s="226">
        <v>31901</v>
      </c>
      <c r="J45" s="522">
        <v>27993</v>
      </c>
      <c r="K45" s="501">
        <v>15275</v>
      </c>
      <c r="L45" s="501">
        <v>3737</v>
      </c>
      <c r="M45" s="501">
        <v>55</v>
      </c>
      <c r="N45" s="523">
        <v>24832</v>
      </c>
      <c r="O45" s="523">
        <v>3738</v>
      </c>
      <c r="P45" s="523">
        <v>0</v>
      </c>
      <c r="Q45" s="228"/>
      <c r="R45" s="201"/>
      <c r="S45" s="225">
        <f t="shared" si="4"/>
        <v>25595</v>
      </c>
      <c r="T45" s="229">
        <f t="shared" si="5"/>
        <v>28628</v>
      </c>
      <c r="U45" s="387">
        <v>19890</v>
      </c>
      <c r="V45" s="522">
        <v>20684</v>
      </c>
      <c r="W45" s="226">
        <v>386</v>
      </c>
      <c r="X45" s="522">
        <v>386</v>
      </c>
      <c r="Y45" s="228">
        <v>4597</v>
      </c>
      <c r="Z45" s="228">
        <v>722</v>
      </c>
      <c r="AA45" s="228"/>
      <c r="AB45" s="523">
        <v>6764</v>
      </c>
      <c r="AC45" s="523">
        <v>737</v>
      </c>
      <c r="AD45" s="523">
        <v>57</v>
      </c>
      <c r="AE45" s="228"/>
      <c r="AF45" s="240"/>
    </row>
    <row r="46" spans="1:32" s="203" customFormat="1">
      <c r="A46" s="245" t="s">
        <v>129</v>
      </c>
      <c r="B46" s="333" t="s">
        <v>275</v>
      </c>
      <c r="C46" s="245">
        <v>106245</v>
      </c>
      <c r="D46" s="334">
        <v>3</v>
      </c>
      <c r="E46" s="225">
        <f t="shared" si="2"/>
        <v>212350</v>
      </c>
      <c r="F46" s="229">
        <f t="shared" si="3"/>
        <v>213147</v>
      </c>
      <c r="G46" s="226">
        <v>159975</v>
      </c>
      <c r="H46" s="522">
        <v>152593</v>
      </c>
      <c r="I46" s="226">
        <v>12221</v>
      </c>
      <c r="J46" s="522">
        <v>13025</v>
      </c>
      <c r="K46" s="501">
        <v>38823</v>
      </c>
      <c r="L46" s="501"/>
      <c r="M46" s="501">
        <v>1331</v>
      </c>
      <c r="N46" s="523">
        <v>46482</v>
      </c>
      <c r="O46" s="523">
        <v>135</v>
      </c>
      <c r="P46" s="523">
        <v>912</v>
      </c>
      <c r="Q46" s="228"/>
      <c r="R46" s="201"/>
      <c r="S46" s="225">
        <f t="shared" si="4"/>
        <v>49314</v>
      </c>
      <c r="T46" s="229">
        <f t="shared" si="5"/>
        <v>48805</v>
      </c>
      <c r="U46" s="387">
        <v>27604</v>
      </c>
      <c r="V46" s="522">
        <v>25481</v>
      </c>
      <c r="W46" s="226">
        <v>14602</v>
      </c>
      <c r="X46" s="522">
        <v>12060</v>
      </c>
      <c r="Y46" s="228">
        <v>7045</v>
      </c>
      <c r="Z46" s="228"/>
      <c r="AA46" s="228">
        <v>63</v>
      </c>
      <c r="AB46" s="523">
        <v>11060</v>
      </c>
      <c r="AC46" s="523">
        <v>78</v>
      </c>
      <c r="AD46" s="523">
        <v>126</v>
      </c>
      <c r="AE46" s="228"/>
      <c r="AF46" s="240"/>
    </row>
    <row r="47" spans="1:32" s="203" customFormat="1">
      <c r="A47" s="245" t="s">
        <v>129</v>
      </c>
      <c r="B47" s="333" t="s">
        <v>276</v>
      </c>
      <c r="C47" s="245">
        <v>106704</v>
      </c>
      <c r="D47" s="334">
        <v>3</v>
      </c>
      <c r="E47" s="225">
        <f t="shared" si="2"/>
        <v>296782</v>
      </c>
      <c r="F47" s="229">
        <f t="shared" si="3"/>
        <v>295444</v>
      </c>
      <c r="G47" s="226">
        <v>288319</v>
      </c>
      <c r="H47" s="522">
        <v>277837</v>
      </c>
      <c r="I47" s="226">
        <v>4944</v>
      </c>
      <c r="J47" s="522">
        <v>9338</v>
      </c>
      <c r="K47" s="501"/>
      <c r="L47" s="501">
        <v>1219</v>
      </c>
      <c r="M47" s="501">
        <v>1877</v>
      </c>
      <c r="N47" s="523">
        <v>0</v>
      </c>
      <c r="O47" s="523">
        <v>54</v>
      </c>
      <c r="P47" s="523">
        <v>6859</v>
      </c>
      <c r="Q47" s="228">
        <v>423</v>
      </c>
      <c r="R47" s="522">
        <v>1356</v>
      </c>
      <c r="S47" s="225">
        <f t="shared" si="4"/>
        <v>32336</v>
      </c>
      <c r="T47" s="229">
        <f t="shared" si="5"/>
        <v>35378</v>
      </c>
      <c r="U47" s="387">
        <v>25376</v>
      </c>
      <c r="V47" s="522">
        <v>23836</v>
      </c>
      <c r="W47" s="226">
        <v>699</v>
      </c>
      <c r="X47" s="522">
        <v>2501</v>
      </c>
      <c r="Y47" s="228"/>
      <c r="Z47" s="228">
        <v>3214</v>
      </c>
      <c r="AA47" s="228">
        <v>3041</v>
      </c>
      <c r="AB47" s="523">
        <v>45</v>
      </c>
      <c r="AC47" s="523">
        <v>681</v>
      </c>
      <c r="AD47" s="523">
        <v>8294</v>
      </c>
      <c r="AE47" s="228">
        <v>6</v>
      </c>
      <c r="AF47" s="240">
        <v>21</v>
      </c>
    </row>
    <row r="48" spans="1:32" s="203" customFormat="1">
      <c r="A48" s="245" t="s">
        <v>129</v>
      </c>
      <c r="B48" s="564" t="s">
        <v>277</v>
      </c>
      <c r="C48" s="565">
        <v>106467</v>
      </c>
      <c r="D48" s="566">
        <v>4</v>
      </c>
      <c r="E48" s="225">
        <f t="shared" si="2"/>
        <v>188034</v>
      </c>
      <c r="F48" s="229">
        <f t="shared" si="3"/>
        <v>191515</v>
      </c>
      <c r="G48" s="226">
        <v>156750</v>
      </c>
      <c r="H48" s="522">
        <v>150318</v>
      </c>
      <c r="I48" s="226">
        <v>15991</v>
      </c>
      <c r="J48" s="522">
        <v>17894</v>
      </c>
      <c r="K48" s="501">
        <v>15054</v>
      </c>
      <c r="L48" s="501">
        <v>214</v>
      </c>
      <c r="M48" s="501">
        <v>25</v>
      </c>
      <c r="N48" s="523">
        <v>23264</v>
      </c>
      <c r="O48" s="523">
        <v>39</v>
      </c>
      <c r="P48" s="523">
        <v>0</v>
      </c>
      <c r="Q48" s="228"/>
      <c r="R48" s="201"/>
      <c r="S48" s="225">
        <f t="shared" si="4"/>
        <v>10587</v>
      </c>
      <c r="T48" s="229">
        <f t="shared" si="5"/>
        <v>8692</v>
      </c>
      <c r="U48" s="387">
        <v>6891</v>
      </c>
      <c r="V48" s="522">
        <v>5598</v>
      </c>
      <c r="W48" s="226">
        <v>2082</v>
      </c>
      <c r="X48" s="522">
        <v>753</v>
      </c>
      <c r="Y48" s="228">
        <v>1569</v>
      </c>
      <c r="Z48" s="228">
        <v>45</v>
      </c>
      <c r="AA48" s="228"/>
      <c r="AB48" s="523">
        <v>2317</v>
      </c>
      <c r="AC48" s="523">
        <v>24</v>
      </c>
      <c r="AD48" s="523">
        <v>0</v>
      </c>
      <c r="AE48" s="228"/>
      <c r="AF48" s="240"/>
    </row>
    <row r="49" spans="1:32" s="203" customFormat="1">
      <c r="A49" s="245" t="s">
        <v>129</v>
      </c>
      <c r="B49" s="564" t="s">
        <v>278</v>
      </c>
      <c r="C49" s="565">
        <v>107071</v>
      </c>
      <c r="D49" s="566">
        <v>4</v>
      </c>
      <c r="E49" s="225">
        <f t="shared" si="2"/>
        <v>86396</v>
      </c>
      <c r="F49" s="229">
        <f t="shared" si="3"/>
        <v>88551</v>
      </c>
      <c r="G49" s="226">
        <v>84979</v>
      </c>
      <c r="H49" s="522">
        <v>84843</v>
      </c>
      <c r="I49" s="226">
        <v>51</v>
      </c>
      <c r="J49" s="522">
        <v>242</v>
      </c>
      <c r="K49" s="501"/>
      <c r="L49" s="501"/>
      <c r="M49" s="501">
        <v>1366</v>
      </c>
      <c r="N49" s="523">
        <v>3144</v>
      </c>
      <c r="O49" s="523">
        <v>0</v>
      </c>
      <c r="P49" s="523">
        <v>322</v>
      </c>
      <c r="Q49" s="228"/>
      <c r="R49" s="201"/>
      <c r="S49" s="225">
        <f t="shared" si="4"/>
        <v>10883</v>
      </c>
      <c r="T49" s="229">
        <f t="shared" si="5"/>
        <v>12295</v>
      </c>
      <c r="U49" s="387">
        <v>8483</v>
      </c>
      <c r="V49" s="522">
        <v>8992</v>
      </c>
      <c r="W49" s="226">
        <v>2202</v>
      </c>
      <c r="X49" s="522">
        <v>3183</v>
      </c>
      <c r="Y49" s="228"/>
      <c r="Z49" s="228"/>
      <c r="AA49" s="228">
        <v>198</v>
      </c>
      <c r="AB49" s="523">
        <v>102</v>
      </c>
      <c r="AC49" s="523">
        <v>0</v>
      </c>
      <c r="AD49" s="523">
        <v>18</v>
      </c>
      <c r="AE49" s="228"/>
      <c r="AF49" s="240"/>
    </row>
    <row r="50" spans="1:32" s="203" customFormat="1">
      <c r="A50" s="245" t="s">
        <v>129</v>
      </c>
      <c r="B50" s="332" t="s">
        <v>279</v>
      </c>
      <c r="C50" s="245">
        <v>107983</v>
      </c>
      <c r="D50" s="334">
        <v>5</v>
      </c>
      <c r="E50" s="225">
        <f t="shared" si="2"/>
        <v>78526</v>
      </c>
      <c r="F50" s="229">
        <f t="shared" si="3"/>
        <v>75330</v>
      </c>
      <c r="G50" s="226">
        <v>72905</v>
      </c>
      <c r="H50" s="522">
        <v>67765</v>
      </c>
      <c r="I50" s="226">
        <v>1958</v>
      </c>
      <c r="J50" s="522">
        <v>2779</v>
      </c>
      <c r="K50" s="501">
        <v>231</v>
      </c>
      <c r="L50" s="501">
        <v>3432</v>
      </c>
      <c r="M50" s="501"/>
      <c r="N50" s="523">
        <v>9</v>
      </c>
      <c r="O50" s="523">
        <v>4777</v>
      </c>
      <c r="P50" s="523">
        <v>0</v>
      </c>
      <c r="Q50" s="228"/>
      <c r="R50" s="201"/>
      <c r="S50" s="225">
        <f t="shared" si="4"/>
        <v>5578</v>
      </c>
      <c r="T50" s="229">
        <f t="shared" si="5"/>
        <v>7192</v>
      </c>
      <c r="U50" s="387">
        <v>3829</v>
      </c>
      <c r="V50" s="522">
        <v>3558</v>
      </c>
      <c r="W50" s="226">
        <v>54</v>
      </c>
      <c r="X50" s="522">
        <v>262</v>
      </c>
      <c r="Y50" s="228">
        <v>357</v>
      </c>
      <c r="Z50" s="228">
        <v>1338</v>
      </c>
      <c r="AA50" s="228"/>
      <c r="AB50" s="523">
        <v>3</v>
      </c>
      <c r="AC50" s="523">
        <v>3369</v>
      </c>
      <c r="AD50" s="523">
        <v>0</v>
      </c>
      <c r="AE50" s="228"/>
      <c r="AF50" s="240"/>
    </row>
    <row r="51" spans="1:32" s="203" customFormat="1">
      <c r="A51" s="245" t="s">
        <v>129</v>
      </c>
      <c r="B51" s="244" t="s">
        <v>282</v>
      </c>
      <c r="C51" s="245">
        <v>108092</v>
      </c>
      <c r="D51" s="291">
        <v>6</v>
      </c>
      <c r="E51" s="225">
        <f t="shared" si="2"/>
        <v>156795</v>
      </c>
      <c r="F51" s="229">
        <f t="shared" si="3"/>
        <v>161374</v>
      </c>
      <c r="G51" s="226">
        <v>139159</v>
      </c>
      <c r="H51" s="522">
        <v>136089</v>
      </c>
      <c r="I51" s="226">
        <v>2080</v>
      </c>
      <c r="J51" s="522">
        <v>5166</v>
      </c>
      <c r="K51" s="501">
        <v>15205</v>
      </c>
      <c r="L51" s="501">
        <v>351</v>
      </c>
      <c r="M51" s="501"/>
      <c r="N51" s="523">
        <v>19984</v>
      </c>
      <c r="O51" s="523">
        <v>135</v>
      </c>
      <c r="P51" s="523">
        <v>0</v>
      </c>
      <c r="Q51" s="228"/>
      <c r="R51" s="201"/>
      <c r="S51" s="225">
        <f t="shared" si="4"/>
        <v>0</v>
      </c>
      <c r="T51" s="229">
        <f t="shared" si="5"/>
        <v>0</v>
      </c>
      <c r="U51" s="387"/>
      <c r="V51" s="201"/>
      <c r="W51" s="226"/>
      <c r="X51" s="522"/>
      <c r="Y51" s="228"/>
      <c r="Z51" s="228"/>
      <c r="AA51" s="228"/>
      <c r="AB51" s="523"/>
      <c r="AC51" s="523"/>
      <c r="AD51" s="523"/>
      <c r="AE51" s="228"/>
      <c r="AF51" s="240"/>
    </row>
    <row r="52" spans="1:32" s="203" customFormat="1">
      <c r="A52" s="245" t="s">
        <v>129</v>
      </c>
      <c r="B52" s="564" t="s">
        <v>280</v>
      </c>
      <c r="C52" s="565">
        <v>106485</v>
      </c>
      <c r="D52" s="566">
        <v>5</v>
      </c>
      <c r="E52" s="225">
        <f t="shared" si="2"/>
        <v>77947</v>
      </c>
      <c r="F52" s="229">
        <f t="shared" si="3"/>
        <v>79278</v>
      </c>
      <c r="G52" s="226">
        <v>55084</v>
      </c>
      <c r="H52" s="522">
        <v>55198</v>
      </c>
      <c r="I52" s="226">
        <v>14289</v>
      </c>
      <c r="J52" s="522">
        <v>15140</v>
      </c>
      <c r="K52" s="501">
        <v>6066</v>
      </c>
      <c r="L52" s="501">
        <v>2508</v>
      </c>
      <c r="M52" s="501"/>
      <c r="N52" s="523">
        <v>6417</v>
      </c>
      <c r="O52" s="523">
        <v>2523</v>
      </c>
      <c r="P52" s="523">
        <v>0</v>
      </c>
      <c r="Q52" s="228"/>
      <c r="R52" s="201"/>
      <c r="S52" s="225">
        <f t="shared" si="4"/>
        <v>2417</v>
      </c>
      <c r="T52" s="229">
        <f t="shared" si="5"/>
        <v>2433</v>
      </c>
      <c r="U52" s="387">
        <v>1469</v>
      </c>
      <c r="V52" s="522">
        <v>1299</v>
      </c>
      <c r="W52" s="226">
        <v>60</v>
      </c>
      <c r="X52" s="522">
        <v>63</v>
      </c>
      <c r="Y52" s="228">
        <v>888</v>
      </c>
      <c r="Z52" s="228"/>
      <c r="AA52" s="228"/>
      <c r="AB52" s="523">
        <v>1071</v>
      </c>
      <c r="AC52" s="523">
        <v>0</v>
      </c>
      <c r="AD52" s="523">
        <v>0</v>
      </c>
      <c r="AE52" s="228"/>
      <c r="AF52" s="240"/>
    </row>
    <row r="53" spans="1:32" s="203" customFormat="1">
      <c r="A53" s="245" t="s">
        <v>129</v>
      </c>
      <c r="B53" s="332" t="s">
        <v>281</v>
      </c>
      <c r="C53" s="245">
        <v>106412</v>
      </c>
      <c r="D53" s="245">
        <v>6</v>
      </c>
      <c r="E53" s="225">
        <f t="shared" si="2"/>
        <v>83530</v>
      </c>
      <c r="F53" s="229">
        <f t="shared" si="3"/>
        <v>89843</v>
      </c>
      <c r="G53" s="226">
        <v>78480</v>
      </c>
      <c r="H53" s="522">
        <v>83558</v>
      </c>
      <c r="I53" s="226">
        <v>1967</v>
      </c>
      <c r="J53" s="522">
        <v>1939</v>
      </c>
      <c r="K53" s="501"/>
      <c r="L53" s="501">
        <v>3083</v>
      </c>
      <c r="M53" s="501"/>
      <c r="N53" s="523">
        <v>0</v>
      </c>
      <c r="O53" s="523">
        <v>4346</v>
      </c>
      <c r="P53" s="523">
        <v>0</v>
      </c>
      <c r="Q53" s="228"/>
      <c r="R53" s="201"/>
      <c r="S53" s="225">
        <f t="shared" si="4"/>
        <v>1517</v>
      </c>
      <c r="T53" s="229">
        <f t="shared" si="5"/>
        <v>2046</v>
      </c>
      <c r="U53" s="387">
        <v>1325</v>
      </c>
      <c r="V53" s="522">
        <v>1735</v>
      </c>
      <c r="W53" s="226"/>
      <c r="X53" s="522">
        <v>0</v>
      </c>
      <c r="Y53" s="228"/>
      <c r="Z53" s="228">
        <v>192</v>
      </c>
      <c r="AA53" s="228"/>
      <c r="AB53" s="523">
        <v>0</v>
      </c>
      <c r="AC53" s="523">
        <v>311</v>
      </c>
      <c r="AD53" s="523">
        <v>0</v>
      </c>
      <c r="AE53" s="228"/>
      <c r="AF53" s="240"/>
    </row>
    <row r="54" spans="1:32" s="203" customFormat="1">
      <c r="A54" s="245" t="s">
        <v>129</v>
      </c>
      <c r="B54" s="332" t="s">
        <v>283</v>
      </c>
      <c r="C54" s="245">
        <v>107664</v>
      </c>
      <c r="D54" s="245">
        <v>8</v>
      </c>
      <c r="E54" s="225">
        <f t="shared" si="2"/>
        <v>183880</v>
      </c>
      <c r="F54" s="229">
        <f t="shared" si="3"/>
        <v>190235</v>
      </c>
      <c r="G54" s="226">
        <v>120463</v>
      </c>
      <c r="H54" s="522">
        <v>104602</v>
      </c>
      <c r="I54" s="226">
        <v>19364</v>
      </c>
      <c r="J54" s="522">
        <v>33090</v>
      </c>
      <c r="K54" s="501">
        <v>44002</v>
      </c>
      <c r="L54" s="501"/>
      <c r="M54" s="501"/>
      <c r="N54" s="523">
        <v>52543</v>
      </c>
      <c r="O54" s="523">
        <v>0</v>
      </c>
      <c r="P54" s="523">
        <v>0</v>
      </c>
      <c r="Q54" s="228">
        <v>51</v>
      </c>
      <c r="R54" s="201"/>
      <c r="S54" s="225">
        <f t="shared" si="4"/>
        <v>0</v>
      </c>
      <c r="T54" s="229">
        <f t="shared" si="5"/>
        <v>0</v>
      </c>
      <c r="U54" s="226"/>
      <c r="V54" s="201"/>
      <c r="W54" s="226"/>
      <c r="X54" s="201"/>
      <c r="Y54" s="228"/>
      <c r="Z54" s="228"/>
      <c r="AA54" s="228"/>
      <c r="AB54" s="202"/>
      <c r="AC54" s="202"/>
      <c r="AD54" s="202"/>
      <c r="AE54" s="228"/>
      <c r="AF54" s="240"/>
    </row>
    <row r="55" spans="1:32" s="203" customFormat="1">
      <c r="A55" s="245" t="s">
        <v>129</v>
      </c>
      <c r="B55" s="332" t="s">
        <v>284</v>
      </c>
      <c r="C55" s="245">
        <v>106449</v>
      </c>
      <c r="D55" s="245">
        <v>9</v>
      </c>
      <c r="E55" s="225">
        <f t="shared" si="2"/>
        <v>94985</v>
      </c>
      <c r="F55" s="229">
        <f t="shared" si="3"/>
        <v>98538</v>
      </c>
      <c r="G55" s="226">
        <v>47782</v>
      </c>
      <c r="H55" s="522">
        <v>51333</v>
      </c>
      <c r="I55" s="226">
        <v>29890</v>
      </c>
      <c r="J55" s="522">
        <v>30060</v>
      </c>
      <c r="K55" s="501">
        <v>17313</v>
      </c>
      <c r="L55" s="501"/>
      <c r="M55" s="501"/>
      <c r="N55" s="523">
        <v>17145</v>
      </c>
      <c r="O55" s="523">
        <v>0</v>
      </c>
      <c r="P55" s="523">
        <v>0</v>
      </c>
      <c r="Q55" s="228"/>
      <c r="R55" s="201"/>
      <c r="S55" s="225">
        <f t="shared" si="4"/>
        <v>0</v>
      </c>
      <c r="T55" s="229">
        <f t="shared" si="5"/>
        <v>0</v>
      </c>
      <c r="U55" s="226"/>
      <c r="V55" s="201"/>
      <c r="W55" s="226"/>
      <c r="X55" s="201"/>
      <c r="Y55" s="228"/>
      <c r="Z55" s="228"/>
      <c r="AA55" s="228"/>
      <c r="AB55" s="202"/>
      <c r="AC55" s="202"/>
      <c r="AD55" s="202"/>
      <c r="AE55" s="228"/>
      <c r="AF55" s="240"/>
    </row>
    <row r="56" spans="1:32" s="203" customFormat="1">
      <c r="A56" s="245" t="s">
        <v>129</v>
      </c>
      <c r="B56" s="332" t="s">
        <v>285</v>
      </c>
      <c r="C56" s="245">
        <v>367459</v>
      </c>
      <c r="D56" s="245">
        <v>9</v>
      </c>
      <c r="E56" s="225">
        <f t="shared" si="2"/>
        <v>114561</v>
      </c>
      <c r="F56" s="229">
        <f t="shared" si="3"/>
        <v>133007</v>
      </c>
      <c r="G56" s="226">
        <v>83833</v>
      </c>
      <c r="H56" s="522">
        <v>90037</v>
      </c>
      <c r="I56" s="226">
        <v>15003</v>
      </c>
      <c r="J56" s="522">
        <v>17229</v>
      </c>
      <c r="K56" s="501">
        <v>918</v>
      </c>
      <c r="L56" s="501">
        <v>635</v>
      </c>
      <c r="M56" s="501">
        <v>14172</v>
      </c>
      <c r="N56" s="523">
        <v>1255</v>
      </c>
      <c r="O56" s="523">
        <v>504</v>
      </c>
      <c r="P56" s="523">
        <v>23982</v>
      </c>
      <c r="Q56" s="228"/>
      <c r="R56" s="201"/>
      <c r="S56" s="225">
        <f t="shared" si="4"/>
        <v>0</v>
      </c>
      <c r="T56" s="229">
        <f t="shared" si="5"/>
        <v>0</v>
      </c>
      <c r="U56" s="226"/>
      <c r="V56" s="201"/>
      <c r="W56" s="226"/>
      <c r="X56" s="201"/>
      <c r="Y56" s="228"/>
      <c r="Z56" s="228"/>
      <c r="AA56" s="228"/>
      <c r="AB56" s="202"/>
      <c r="AC56" s="202"/>
      <c r="AD56" s="202"/>
      <c r="AE56" s="228"/>
      <c r="AF56" s="240"/>
    </row>
    <row r="57" spans="1:32" s="203" customFormat="1">
      <c r="A57" s="245" t="s">
        <v>129</v>
      </c>
      <c r="B57" s="332" t="s">
        <v>286</v>
      </c>
      <c r="C57" s="245">
        <v>107327</v>
      </c>
      <c r="D57" s="245">
        <v>10</v>
      </c>
      <c r="E57" s="225">
        <f t="shared" si="2"/>
        <v>35619</v>
      </c>
      <c r="F57" s="229">
        <f t="shared" si="3"/>
        <v>35976</v>
      </c>
      <c r="G57" s="226">
        <v>28572</v>
      </c>
      <c r="H57" s="522">
        <v>26730</v>
      </c>
      <c r="I57" s="226">
        <v>3520</v>
      </c>
      <c r="J57" s="522">
        <v>3745</v>
      </c>
      <c r="K57" s="501">
        <v>2958</v>
      </c>
      <c r="L57" s="501">
        <v>569</v>
      </c>
      <c r="M57" s="501"/>
      <c r="N57" s="523">
        <v>4995</v>
      </c>
      <c r="O57" s="523">
        <v>506</v>
      </c>
      <c r="P57" s="523">
        <v>0</v>
      </c>
      <c r="Q57" s="228"/>
      <c r="R57" s="201"/>
      <c r="S57" s="225">
        <f t="shared" si="4"/>
        <v>0</v>
      </c>
      <c r="T57" s="229">
        <f t="shared" si="5"/>
        <v>0</v>
      </c>
      <c r="U57" s="226"/>
      <c r="V57" s="201"/>
      <c r="W57" s="226"/>
      <c r="X57" s="201"/>
      <c r="Y57" s="228"/>
      <c r="Z57" s="228"/>
      <c r="AA57" s="228"/>
      <c r="AB57" s="202"/>
      <c r="AC57" s="202"/>
      <c r="AD57" s="202"/>
      <c r="AE57" s="228"/>
      <c r="AF57" s="240"/>
    </row>
    <row r="58" spans="1:32" s="203" customFormat="1">
      <c r="A58" s="245" t="s">
        <v>129</v>
      </c>
      <c r="B58" s="333" t="s">
        <v>287</v>
      </c>
      <c r="C58" s="245">
        <v>420538</v>
      </c>
      <c r="D58" s="245">
        <v>10</v>
      </c>
      <c r="E58" s="225">
        <f t="shared" si="2"/>
        <v>24194</v>
      </c>
      <c r="F58" s="229">
        <f t="shared" si="3"/>
        <v>27898</v>
      </c>
      <c r="G58" s="226">
        <v>19420</v>
      </c>
      <c r="H58" s="522">
        <v>20287</v>
      </c>
      <c r="I58" s="226">
        <v>1205</v>
      </c>
      <c r="J58" s="522">
        <v>1065</v>
      </c>
      <c r="K58" s="501">
        <v>3107</v>
      </c>
      <c r="L58" s="501">
        <v>462</v>
      </c>
      <c r="M58" s="501"/>
      <c r="N58" s="523">
        <v>6263</v>
      </c>
      <c r="O58" s="523">
        <v>283</v>
      </c>
      <c r="P58" s="523">
        <v>0</v>
      </c>
      <c r="Q58" s="228"/>
      <c r="R58" s="201"/>
      <c r="S58" s="225">
        <f t="shared" si="4"/>
        <v>0</v>
      </c>
      <c r="T58" s="229">
        <f t="shared" si="5"/>
        <v>0</v>
      </c>
      <c r="U58" s="226"/>
      <c r="V58" s="201"/>
      <c r="W58" s="226"/>
      <c r="X58" s="201"/>
      <c r="Y58" s="228"/>
      <c r="Z58" s="228"/>
      <c r="AA58" s="228"/>
      <c r="AB58" s="202"/>
      <c r="AC58" s="202"/>
      <c r="AD58" s="202"/>
      <c r="AE58" s="228"/>
      <c r="AF58" s="240"/>
    </row>
    <row r="59" spans="1:32" s="203" customFormat="1">
      <c r="A59" s="245" t="s">
        <v>129</v>
      </c>
      <c r="B59" s="333" t="s">
        <v>288</v>
      </c>
      <c r="C59" s="245">
        <v>440402</v>
      </c>
      <c r="D59" s="245">
        <v>10</v>
      </c>
      <c r="E59" s="225">
        <f t="shared" si="2"/>
        <v>27231</v>
      </c>
      <c r="F59" s="229">
        <f t="shared" si="3"/>
        <v>32602</v>
      </c>
      <c r="G59" s="226">
        <v>15375</v>
      </c>
      <c r="H59" s="522">
        <v>17414</v>
      </c>
      <c r="I59" s="226">
        <v>4303</v>
      </c>
      <c r="J59" s="522">
        <v>5300</v>
      </c>
      <c r="K59" s="501">
        <v>7301</v>
      </c>
      <c r="L59" s="501"/>
      <c r="M59" s="501">
        <v>252</v>
      </c>
      <c r="N59" s="523">
        <v>9888</v>
      </c>
      <c r="O59" s="523">
        <v>0</v>
      </c>
      <c r="P59" s="523">
        <v>0</v>
      </c>
      <c r="Q59" s="228"/>
      <c r="R59" s="201"/>
      <c r="S59" s="225">
        <f t="shared" si="4"/>
        <v>0</v>
      </c>
      <c r="T59" s="229">
        <f t="shared" si="5"/>
        <v>0</v>
      </c>
      <c r="U59" s="226"/>
      <c r="V59" s="201"/>
      <c r="W59" s="226"/>
      <c r="X59" s="201"/>
      <c r="Y59" s="228"/>
      <c r="Z59" s="228"/>
      <c r="AA59" s="228"/>
      <c r="AB59" s="202"/>
      <c r="AC59" s="202"/>
      <c r="AD59" s="202"/>
      <c r="AE59" s="228"/>
      <c r="AF59" s="240"/>
    </row>
    <row r="60" spans="1:32" s="203" customFormat="1">
      <c r="A60" s="245" t="s">
        <v>129</v>
      </c>
      <c r="B60" s="333" t="s">
        <v>289</v>
      </c>
      <c r="C60" s="245">
        <v>106625</v>
      </c>
      <c r="D60" s="245">
        <v>10</v>
      </c>
      <c r="E60" s="225">
        <f t="shared" si="2"/>
        <v>46439</v>
      </c>
      <c r="F60" s="229">
        <f t="shared" si="3"/>
        <v>48013</v>
      </c>
      <c r="G60" s="226">
        <v>29472</v>
      </c>
      <c r="H60" s="522">
        <v>30646</v>
      </c>
      <c r="I60" s="226">
        <v>10122</v>
      </c>
      <c r="J60" s="522">
        <v>9283</v>
      </c>
      <c r="K60" s="501">
        <v>5844</v>
      </c>
      <c r="L60" s="501">
        <v>1001</v>
      </c>
      <c r="M60" s="501"/>
      <c r="N60" s="523">
        <v>6932</v>
      </c>
      <c r="O60" s="523">
        <v>1152</v>
      </c>
      <c r="P60" s="523">
        <v>0</v>
      </c>
      <c r="Q60" s="228"/>
      <c r="R60" s="201"/>
      <c r="S60" s="225">
        <f t="shared" si="4"/>
        <v>0</v>
      </c>
      <c r="T60" s="229">
        <f t="shared" si="5"/>
        <v>0</v>
      </c>
      <c r="U60" s="226"/>
      <c r="V60" s="201"/>
      <c r="W60" s="226"/>
      <c r="X60" s="201"/>
      <c r="Y60" s="228"/>
      <c r="Z60" s="228"/>
      <c r="AA60" s="228"/>
      <c r="AB60" s="202"/>
      <c r="AC60" s="202"/>
      <c r="AD60" s="202"/>
      <c r="AE60" s="228"/>
      <c r="AF60" s="240"/>
    </row>
    <row r="61" spans="1:32" s="203" customFormat="1">
      <c r="A61" s="245" t="s">
        <v>129</v>
      </c>
      <c r="B61" s="333" t="s">
        <v>290</v>
      </c>
      <c r="C61" s="245">
        <v>106795</v>
      </c>
      <c r="D61" s="245">
        <v>10</v>
      </c>
      <c r="E61" s="225">
        <f t="shared" si="2"/>
        <v>25926</v>
      </c>
      <c r="F61" s="229">
        <f t="shared" si="3"/>
        <v>26995</v>
      </c>
      <c r="G61" s="226">
        <v>7111</v>
      </c>
      <c r="H61" s="522">
        <v>6422</v>
      </c>
      <c r="I61" s="226">
        <v>5014</v>
      </c>
      <c r="J61" s="522">
        <v>7401</v>
      </c>
      <c r="K61" s="501">
        <v>10724</v>
      </c>
      <c r="L61" s="501">
        <v>2999</v>
      </c>
      <c r="M61" s="501">
        <v>78</v>
      </c>
      <c r="N61" s="523">
        <v>10161</v>
      </c>
      <c r="O61" s="523">
        <v>3011</v>
      </c>
      <c r="P61" s="523">
        <v>0</v>
      </c>
      <c r="Q61" s="228"/>
      <c r="R61" s="201"/>
      <c r="S61" s="225">
        <f t="shared" si="4"/>
        <v>0</v>
      </c>
      <c r="T61" s="229">
        <f t="shared" si="5"/>
        <v>0</v>
      </c>
      <c r="U61" s="226"/>
      <c r="V61" s="201"/>
      <c r="W61" s="226"/>
      <c r="X61" s="201"/>
      <c r="Y61" s="228"/>
      <c r="Z61" s="228"/>
      <c r="AA61" s="228"/>
      <c r="AB61" s="202"/>
      <c r="AC61" s="202"/>
      <c r="AD61" s="202"/>
      <c r="AE61" s="228"/>
      <c r="AF61" s="240"/>
    </row>
    <row r="62" spans="1:32" s="203" customFormat="1">
      <c r="A62" s="245" t="s">
        <v>129</v>
      </c>
      <c r="B62" s="333" t="s">
        <v>291</v>
      </c>
      <c r="C62" s="245">
        <v>106883</v>
      </c>
      <c r="D62" s="245">
        <v>10</v>
      </c>
      <c r="E62" s="225">
        <f t="shared" si="2"/>
        <v>33569</v>
      </c>
      <c r="F62" s="229">
        <f t="shared" si="3"/>
        <v>32068</v>
      </c>
      <c r="G62" s="226">
        <v>21766</v>
      </c>
      <c r="H62" s="522">
        <v>20073</v>
      </c>
      <c r="I62" s="226">
        <v>7056</v>
      </c>
      <c r="J62" s="522">
        <v>6947</v>
      </c>
      <c r="K62" s="501">
        <v>3519</v>
      </c>
      <c r="L62" s="501">
        <v>1228</v>
      </c>
      <c r="M62" s="501"/>
      <c r="N62" s="523">
        <v>4152</v>
      </c>
      <c r="O62" s="523">
        <v>896</v>
      </c>
      <c r="P62" s="523">
        <v>0</v>
      </c>
      <c r="Q62" s="228"/>
      <c r="R62" s="201"/>
      <c r="S62" s="225">
        <f t="shared" si="4"/>
        <v>0</v>
      </c>
      <c r="T62" s="229">
        <f t="shared" si="5"/>
        <v>0</v>
      </c>
      <c r="U62" s="226"/>
      <c r="V62" s="201"/>
      <c r="W62" s="226"/>
      <c r="X62" s="201"/>
      <c r="Y62" s="228"/>
      <c r="Z62" s="228"/>
      <c r="AA62" s="228"/>
      <c r="AB62" s="202"/>
      <c r="AC62" s="202"/>
      <c r="AD62" s="202"/>
      <c r="AE62" s="228"/>
      <c r="AF62" s="240"/>
    </row>
    <row r="63" spans="1:32" s="203" customFormat="1">
      <c r="A63" s="245" t="s">
        <v>129</v>
      </c>
      <c r="B63" s="333" t="s">
        <v>292</v>
      </c>
      <c r="C63" s="245">
        <v>107318</v>
      </c>
      <c r="D63" s="245">
        <v>10</v>
      </c>
      <c r="E63" s="225">
        <f t="shared" si="2"/>
        <v>27387</v>
      </c>
      <c r="F63" s="229">
        <f t="shared" si="3"/>
        <v>28966</v>
      </c>
      <c r="G63" s="226">
        <v>24049</v>
      </c>
      <c r="H63" s="522">
        <v>26555</v>
      </c>
      <c r="I63" s="226">
        <v>2459</v>
      </c>
      <c r="J63" s="522">
        <v>2003</v>
      </c>
      <c r="K63" s="501">
        <v>879</v>
      </c>
      <c r="L63" s="501"/>
      <c r="M63" s="501"/>
      <c r="N63" s="523">
        <v>408</v>
      </c>
      <c r="O63" s="523">
        <v>0</v>
      </c>
      <c r="P63" s="523">
        <v>0</v>
      </c>
      <c r="Q63" s="228"/>
      <c r="R63" s="201"/>
      <c r="S63" s="225">
        <f t="shared" si="4"/>
        <v>0</v>
      </c>
      <c r="T63" s="229">
        <f t="shared" si="5"/>
        <v>0</v>
      </c>
      <c r="U63" s="226"/>
      <c r="V63" s="201"/>
      <c r="W63" s="226"/>
      <c r="X63" s="201"/>
      <c r="Y63" s="228"/>
      <c r="Z63" s="228"/>
      <c r="AA63" s="228"/>
      <c r="AB63" s="202"/>
      <c r="AC63" s="202"/>
      <c r="AD63" s="202"/>
      <c r="AE63" s="228"/>
      <c r="AF63" s="240"/>
    </row>
    <row r="64" spans="1:32" s="203" customFormat="1">
      <c r="A64" s="245" t="s">
        <v>129</v>
      </c>
      <c r="B64" s="247" t="s">
        <v>293</v>
      </c>
      <c r="C64" s="245">
        <v>106980</v>
      </c>
      <c r="D64" s="245">
        <v>10</v>
      </c>
      <c r="E64" s="225">
        <f t="shared" si="2"/>
        <v>57500</v>
      </c>
      <c r="F64" s="229">
        <f t="shared" si="3"/>
        <v>64009</v>
      </c>
      <c r="G64" s="226">
        <v>51858</v>
      </c>
      <c r="H64" s="522">
        <v>56603</v>
      </c>
      <c r="I64" s="226">
        <v>4104</v>
      </c>
      <c r="J64" s="522">
        <v>2428</v>
      </c>
      <c r="K64" s="501">
        <v>1462</v>
      </c>
      <c r="L64" s="501">
        <v>36</v>
      </c>
      <c r="M64" s="501">
        <v>40</v>
      </c>
      <c r="N64" s="523">
        <v>4978</v>
      </c>
      <c r="O64" s="523">
        <v>0</v>
      </c>
      <c r="P64" s="523">
        <v>0</v>
      </c>
      <c r="Q64" s="228"/>
      <c r="R64" s="201"/>
      <c r="S64" s="225">
        <f t="shared" si="4"/>
        <v>0</v>
      </c>
      <c r="T64" s="229">
        <f t="shared" si="5"/>
        <v>0</v>
      </c>
      <c r="U64" s="226"/>
      <c r="V64" s="201"/>
      <c r="W64" s="226"/>
      <c r="X64" s="201"/>
      <c r="Y64" s="228"/>
      <c r="Z64" s="228"/>
      <c r="AA64" s="228"/>
      <c r="AB64" s="202"/>
      <c r="AC64" s="202"/>
      <c r="AD64" s="202"/>
      <c r="AE64" s="228"/>
      <c r="AF64" s="240"/>
    </row>
    <row r="65" spans="1:32" s="203" customFormat="1">
      <c r="A65" s="245" t="s">
        <v>129</v>
      </c>
      <c r="B65" s="333" t="s">
        <v>294</v>
      </c>
      <c r="C65" s="245">
        <v>107460</v>
      </c>
      <c r="D65" s="245">
        <v>10</v>
      </c>
      <c r="E65" s="225">
        <f t="shared" si="2"/>
        <v>45693</v>
      </c>
      <c r="F65" s="229">
        <f t="shared" si="3"/>
        <v>47625</v>
      </c>
      <c r="G65" s="226">
        <v>41358</v>
      </c>
      <c r="H65" s="522">
        <v>42211</v>
      </c>
      <c r="I65" s="226">
        <v>1146</v>
      </c>
      <c r="J65" s="522">
        <v>1674</v>
      </c>
      <c r="K65" s="501">
        <v>2607</v>
      </c>
      <c r="L65" s="501">
        <v>582</v>
      </c>
      <c r="M65" s="501"/>
      <c r="N65" s="523">
        <v>3374</v>
      </c>
      <c r="O65" s="523">
        <v>366</v>
      </c>
      <c r="P65" s="523">
        <v>0</v>
      </c>
      <c r="Q65" s="228"/>
      <c r="R65" s="201"/>
      <c r="S65" s="225">
        <f t="shared" si="4"/>
        <v>0</v>
      </c>
      <c r="T65" s="229">
        <f t="shared" si="5"/>
        <v>0</v>
      </c>
      <c r="U65" s="226"/>
      <c r="V65" s="201"/>
      <c r="W65" s="226"/>
      <c r="X65" s="201"/>
      <c r="Y65" s="228"/>
      <c r="Z65" s="228"/>
      <c r="AA65" s="228"/>
      <c r="AB65" s="202"/>
      <c r="AC65" s="202"/>
      <c r="AD65" s="202"/>
      <c r="AE65" s="228"/>
      <c r="AF65" s="240"/>
    </row>
    <row r="66" spans="1:32" s="203" customFormat="1">
      <c r="A66" s="245" t="s">
        <v>129</v>
      </c>
      <c r="B66" s="333" t="s">
        <v>295</v>
      </c>
      <c r="C66" s="245">
        <v>107521</v>
      </c>
      <c r="D66" s="245">
        <v>10</v>
      </c>
      <c r="E66" s="225">
        <f t="shared" si="2"/>
        <v>25986</v>
      </c>
      <c r="F66" s="229">
        <f t="shared" si="3"/>
        <v>27032</v>
      </c>
      <c r="G66" s="226">
        <v>17609</v>
      </c>
      <c r="H66" s="522">
        <v>18049</v>
      </c>
      <c r="I66" s="226">
        <v>4328</v>
      </c>
      <c r="J66" s="522">
        <v>4171</v>
      </c>
      <c r="K66" s="501">
        <v>4022</v>
      </c>
      <c r="L66" s="501">
        <v>27</v>
      </c>
      <c r="M66" s="501"/>
      <c r="N66" s="523">
        <v>4665</v>
      </c>
      <c r="O66" s="523">
        <v>147</v>
      </c>
      <c r="P66" s="523">
        <v>0</v>
      </c>
      <c r="Q66" s="228"/>
      <c r="R66" s="201"/>
      <c r="S66" s="225">
        <f t="shared" si="4"/>
        <v>0</v>
      </c>
      <c r="T66" s="229">
        <f t="shared" si="5"/>
        <v>0</v>
      </c>
      <c r="U66" s="226"/>
      <c r="V66" s="201"/>
      <c r="W66" s="226"/>
      <c r="X66" s="201"/>
      <c r="Y66" s="228"/>
      <c r="Z66" s="228"/>
      <c r="AA66" s="228"/>
      <c r="AB66" s="202"/>
      <c r="AC66" s="202"/>
      <c r="AD66" s="202"/>
      <c r="AE66" s="228"/>
      <c r="AF66" s="240"/>
    </row>
    <row r="67" spans="1:32" s="203" customFormat="1">
      <c r="A67" s="245" t="s">
        <v>129</v>
      </c>
      <c r="B67" s="333" t="s">
        <v>296</v>
      </c>
      <c r="C67" s="245">
        <v>107549</v>
      </c>
      <c r="D67" s="245">
        <v>10</v>
      </c>
      <c r="E67" s="225">
        <f t="shared" si="2"/>
        <v>23046</v>
      </c>
      <c r="F67" s="229">
        <f t="shared" si="3"/>
        <v>26888</v>
      </c>
      <c r="G67" s="226">
        <v>14142</v>
      </c>
      <c r="H67" s="522">
        <v>16518</v>
      </c>
      <c r="I67" s="226">
        <v>1855</v>
      </c>
      <c r="J67" s="522">
        <v>2077</v>
      </c>
      <c r="K67" s="501">
        <v>3646</v>
      </c>
      <c r="L67" s="501">
        <v>3001</v>
      </c>
      <c r="M67" s="501">
        <v>402</v>
      </c>
      <c r="N67" s="523">
        <v>5349</v>
      </c>
      <c r="O67" s="523">
        <v>2944</v>
      </c>
      <c r="P67" s="523">
        <v>0</v>
      </c>
      <c r="Q67" s="228"/>
      <c r="R67" s="201"/>
      <c r="S67" s="225">
        <f t="shared" si="4"/>
        <v>0</v>
      </c>
      <c r="T67" s="229">
        <f t="shared" si="5"/>
        <v>0</v>
      </c>
      <c r="U67" s="226"/>
      <c r="V67" s="201"/>
      <c r="W67" s="226"/>
      <c r="X67" s="201"/>
      <c r="Y67" s="228"/>
      <c r="Z67" s="228"/>
      <c r="AA67" s="228"/>
      <c r="AB67" s="202"/>
      <c r="AC67" s="202"/>
      <c r="AD67" s="202"/>
      <c r="AE67" s="228"/>
      <c r="AF67" s="240"/>
    </row>
    <row r="68" spans="1:32" s="203" customFormat="1">
      <c r="A68" s="245" t="s">
        <v>129</v>
      </c>
      <c r="B68" s="333" t="s">
        <v>297</v>
      </c>
      <c r="C68" s="245">
        <v>107619</v>
      </c>
      <c r="D68" s="245">
        <v>10</v>
      </c>
      <c r="E68" s="225">
        <f t="shared" si="2"/>
        <v>39563</v>
      </c>
      <c r="F68" s="229">
        <f t="shared" si="3"/>
        <v>40066</v>
      </c>
      <c r="G68" s="226">
        <v>19308</v>
      </c>
      <c r="H68" s="522">
        <v>31945</v>
      </c>
      <c r="I68" s="226">
        <v>16011</v>
      </c>
      <c r="J68" s="522">
        <v>3863</v>
      </c>
      <c r="K68" s="501">
        <v>2722</v>
      </c>
      <c r="L68" s="501">
        <v>1522</v>
      </c>
      <c r="M68" s="501"/>
      <c r="N68" s="523">
        <v>2824</v>
      </c>
      <c r="O68" s="523">
        <v>1434</v>
      </c>
      <c r="P68" s="523">
        <v>0</v>
      </c>
      <c r="Q68" s="228"/>
      <c r="R68" s="201"/>
      <c r="S68" s="225">
        <f t="shared" si="4"/>
        <v>0</v>
      </c>
      <c r="T68" s="229">
        <f t="shared" si="5"/>
        <v>0</v>
      </c>
      <c r="U68" s="226"/>
      <c r="V68" s="201"/>
      <c r="W68" s="226"/>
      <c r="X68" s="201"/>
      <c r="Y68" s="228"/>
      <c r="Z68" s="228"/>
      <c r="AA68" s="228"/>
      <c r="AB68" s="202"/>
      <c r="AC68" s="202"/>
      <c r="AD68" s="202"/>
      <c r="AE68" s="228"/>
      <c r="AF68" s="240"/>
    </row>
    <row r="69" spans="1:32" s="203" customFormat="1">
      <c r="A69" s="245" t="s">
        <v>129</v>
      </c>
      <c r="B69" s="333" t="s">
        <v>298</v>
      </c>
      <c r="C69" s="245">
        <v>107743</v>
      </c>
      <c r="D69" s="245">
        <v>10</v>
      </c>
      <c r="E69" s="225">
        <f t="shared" si="2"/>
        <v>15865</v>
      </c>
      <c r="F69" s="229">
        <f t="shared" si="3"/>
        <v>17512</v>
      </c>
      <c r="G69" s="226">
        <v>11559</v>
      </c>
      <c r="H69" s="522">
        <v>13075</v>
      </c>
      <c r="I69" s="226">
        <v>3568</v>
      </c>
      <c r="J69" s="522">
        <v>3639</v>
      </c>
      <c r="K69" s="501"/>
      <c r="L69" s="501"/>
      <c r="M69" s="501">
        <v>738</v>
      </c>
      <c r="N69" s="523">
        <v>0</v>
      </c>
      <c r="O69" s="523">
        <v>798</v>
      </c>
      <c r="P69" s="523">
        <v>0</v>
      </c>
      <c r="Q69" s="228"/>
      <c r="R69" s="201"/>
      <c r="S69" s="225">
        <f t="shared" si="4"/>
        <v>0</v>
      </c>
      <c r="T69" s="229">
        <f t="shared" si="5"/>
        <v>0</v>
      </c>
      <c r="U69" s="226"/>
      <c r="V69" s="201"/>
      <c r="W69" s="226"/>
      <c r="X69" s="201"/>
      <c r="Y69" s="228"/>
      <c r="Z69" s="228"/>
      <c r="AA69" s="228"/>
      <c r="AB69" s="202"/>
      <c r="AC69" s="202"/>
      <c r="AD69" s="202"/>
      <c r="AE69" s="228"/>
      <c r="AF69" s="240"/>
    </row>
    <row r="70" spans="1:32" s="203" customFormat="1">
      <c r="A70" s="245" t="s">
        <v>129</v>
      </c>
      <c r="B70" s="333" t="s">
        <v>299</v>
      </c>
      <c r="C70" s="245">
        <v>107974</v>
      </c>
      <c r="D70" s="245">
        <v>10</v>
      </c>
      <c r="E70" s="225">
        <f t="shared" ref="E70:E133" si="6">SUM(G70,I70,K70,L70,M70,Q70)</f>
        <v>31048</v>
      </c>
      <c r="F70" s="229">
        <f t="shared" ref="F70:F133" si="7">SUM(H70,J70,N70,O70,P70,R70)</f>
        <v>33850</v>
      </c>
      <c r="G70" s="226">
        <v>26983</v>
      </c>
      <c r="H70" s="522">
        <v>29100</v>
      </c>
      <c r="I70" s="226">
        <v>717</v>
      </c>
      <c r="J70" s="522">
        <v>564</v>
      </c>
      <c r="K70" s="501">
        <v>3338</v>
      </c>
      <c r="L70" s="501">
        <v>10</v>
      </c>
      <c r="M70" s="501"/>
      <c r="N70" s="523">
        <v>4186</v>
      </c>
      <c r="O70" s="523">
        <v>0</v>
      </c>
      <c r="P70" s="523">
        <v>0</v>
      </c>
      <c r="Q70" s="228"/>
      <c r="R70" s="201"/>
      <c r="S70" s="225">
        <f t="shared" ref="S70:S133" si="8">SUM(U70,W70,Y70,Z70,AA70,AE70)</f>
        <v>0</v>
      </c>
      <c r="T70" s="229">
        <f t="shared" ref="T70:T133" si="9">SUM(V70,X70,AB70,AC70,AD70,AF70)</f>
        <v>0</v>
      </c>
      <c r="U70" s="226"/>
      <c r="V70" s="201"/>
      <c r="W70" s="226"/>
      <c r="X70" s="201"/>
      <c r="Y70" s="228"/>
      <c r="Z70" s="228"/>
      <c r="AA70" s="228"/>
      <c r="AB70" s="202"/>
      <c r="AC70" s="202"/>
      <c r="AD70" s="202"/>
      <c r="AE70" s="228"/>
      <c r="AF70" s="240"/>
    </row>
    <row r="71" spans="1:32" s="203" customFormat="1">
      <c r="A71" s="245" t="s">
        <v>129</v>
      </c>
      <c r="B71" s="333" t="s">
        <v>300</v>
      </c>
      <c r="C71" s="245">
        <v>107637</v>
      </c>
      <c r="D71" s="245">
        <v>10</v>
      </c>
      <c r="E71" s="225">
        <f t="shared" si="6"/>
        <v>47273</v>
      </c>
      <c r="F71" s="229">
        <f t="shared" si="7"/>
        <v>45587</v>
      </c>
      <c r="G71" s="226">
        <v>39856</v>
      </c>
      <c r="H71" s="522">
        <v>38346</v>
      </c>
      <c r="I71" s="226">
        <v>3390</v>
      </c>
      <c r="J71" s="522">
        <v>3289</v>
      </c>
      <c r="K71" s="501">
        <v>3790</v>
      </c>
      <c r="L71" s="501"/>
      <c r="M71" s="501">
        <v>237</v>
      </c>
      <c r="N71" s="523">
        <v>3952</v>
      </c>
      <c r="O71" s="523">
        <v>0</v>
      </c>
      <c r="P71" s="523">
        <v>0</v>
      </c>
      <c r="Q71" s="228"/>
      <c r="R71" s="201"/>
      <c r="S71" s="225">
        <f t="shared" si="8"/>
        <v>0</v>
      </c>
      <c r="T71" s="229">
        <f t="shared" si="9"/>
        <v>0</v>
      </c>
      <c r="U71" s="226"/>
      <c r="V71" s="201"/>
      <c r="W71" s="226"/>
      <c r="X71" s="201"/>
      <c r="Y71" s="228"/>
      <c r="Z71" s="228"/>
      <c r="AA71" s="228"/>
      <c r="AB71" s="202"/>
      <c r="AC71" s="202"/>
      <c r="AD71" s="202"/>
      <c r="AE71" s="228"/>
      <c r="AF71" s="240"/>
    </row>
    <row r="72" spans="1:32" s="203" customFormat="1">
      <c r="A72" s="245" t="s">
        <v>129</v>
      </c>
      <c r="B72" s="333" t="s">
        <v>301</v>
      </c>
      <c r="C72" s="245">
        <v>107992</v>
      </c>
      <c r="D72" s="245">
        <v>10</v>
      </c>
      <c r="E72" s="225">
        <f t="shared" si="6"/>
        <v>38516</v>
      </c>
      <c r="F72" s="229">
        <f t="shared" si="7"/>
        <v>39361</v>
      </c>
      <c r="G72" s="226">
        <v>14840</v>
      </c>
      <c r="H72" s="522">
        <v>14334</v>
      </c>
      <c r="I72" s="226">
        <v>16397</v>
      </c>
      <c r="J72" s="522">
        <v>16722</v>
      </c>
      <c r="K72" s="501"/>
      <c r="L72" s="501"/>
      <c r="M72" s="501">
        <v>7279</v>
      </c>
      <c r="N72" s="523">
        <v>0</v>
      </c>
      <c r="O72" s="523">
        <v>0</v>
      </c>
      <c r="P72" s="523">
        <v>8305</v>
      </c>
      <c r="Q72" s="228"/>
      <c r="R72" s="201"/>
      <c r="S72" s="225">
        <f t="shared" si="8"/>
        <v>0</v>
      </c>
      <c r="T72" s="229">
        <f t="shared" si="9"/>
        <v>0</v>
      </c>
      <c r="U72" s="226"/>
      <c r="V72" s="201"/>
      <c r="W72" s="226"/>
      <c r="X72" s="201"/>
      <c r="Y72" s="228"/>
      <c r="Z72" s="228"/>
      <c r="AA72" s="228"/>
      <c r="AB72" s="202"/>
      <c r="AC72" s="202"/>
      <c r="AD72" s="202"/>
      <c r="AE72" s="228"/>
      <c r="AF72" s="240"/>
    </row>
    <row r="73" spans="1:32" s="203" customFormat="1">
      <c r="A73" s="245" t="s">
        <v>129</v>
      </c>
      <c r="B73" s="333" t="s">
        <v>302</v>
      </c>
      <c r="C73" s="245">
        <v>106999</v>
      </c>
      <c r="D73" s="245">
        <v>10</v>
      </c>
      <c r="E73" s="225">
        <f t="shared" si="6"/>
        <v>31283</v>
      </c>
      <c r="F73" s="229">
        <f t="shared" si="7"/>
        <v>35636</v>
      </c>
      <c r="G73" s="226">
        <v>27148</v>
      </c>
      <c r="H73" s="522">
        <v>29922</v>
      </c>
      <c r="I73" s="226">
        <v>558</v>
      </c>
      <c r="J73" s="522">
        <v>839</v>
      </c>
      <c r="K73" s="501">
        <v>3577</v>
      </c>
      <c r="L73" s="501"/>
      <c r="M73" s="501"/>
      <c r="N73" s="523">
        <v>4875</v>
      </c>
      <c r="O73" s="523">
        <v>0</v>
      </c>
      <c r="P73" s="523">
        <v>0</v>
      </c>
      <c r="Q73" s="228"/>
      <c r="R73" s="201"/>
      <c r="S73" s="225">
        <f t="shared" si="8"/>
        <v>0</v>
      </c>
      <c r="T73" s="229">
        <f t="shared" si="9"/>
        <v>0</v>
      </c>
      <c r="U73" s="226"/>
      <c r="V73" s="201"/>
      <c r="W73" s="226"/>
      <c r="X73" s="201"/>
      <c r="Y73" s="228"/>
      <c r="Z73" s="228"/>
      <c r="AA73" s="228"/>
      <c r="AB73" s="202"/>
      <c r="AC73" s="202"/>
      <c r="AD73" s="202"/>
      <c r="AE73" s="228"/>
      <c r="AF73" s="240"/>
    </row>
    <row r="74" spans="1:32" s="203" customFormat="1">
      <c r="A74" s="245" t="s">
        <v>129</v>
      </c>
      <c r="B74" s="333" t="s">
        <v>303</v>
      </c>
      <c r="C74" s="245">
        <v>107725</v>
      </c>
      <c r="D74" s="245">
        <v>10</v>
      </c>
      <c r="E74" s="225">
        <f t="shared" si="6"/>
        <v>25910</v>
      </c>
      <c r="F74" s="229">
        <f t="shared" si="7"/>
        <v>27155</v>
      </c>
      <c r="G74" s="226">
        <v>25886</v>
      </c>
      <c r="H74" s="522">
        <v>27131</v>
      </c>
      <c r="I74" s="226"/>
      <c r="J74" s="522">
        <v>0</v>
      </c>
      <c r="K74" s="501">
        <v>6</v>
      </c>
      <c r="L74" s="501"/>
      <c r="M74" s="501">
        <v>18</v>
      </c>
      <c r="N74" s="523">
        <v>9</v>
      </c>
      <c r="O74" s="523">
        <v>0</v>
      </c>
      <c r="P74" s="523">
        <v>15</v>
      </c>
      <c r="Q74" s="228"/>
      <c r="R74" s="201"/>
      <c r="S74" s="225">
        <f t="shared" si="8"/>
        <v>0</v>
      </c>
      <c r="T74" s="229">
        <f t="shared" si="9"/>
        <v>0</v>
      </c>
      <c r="U74" s="226"/>
      <c r="V74" s="201"/>
      <c r="W74" s="226"/>
      <c r="X74" s="201"/>
      <c r="Y74" s="228"/>
      <c r="Z74" s="228"/>
      <c r="AA74" s="228"/>
      <c r="AB74" s="202"/>
      <c r="AC74" s="202"/>
      <c r="AD74" s="202"/>
      <c r="AE74" s="228"/>
      <c r="AF74" s="240"/>
    </row>
    <row r="75" spans="1:32" s="203" customFormat="1">
      <c r="A75" s="245" t="s">
        <v>129</v>
      </c>
      <c r="B75" s="333" t="s">
        <v>304</v>
      </c>
      <c r="C75" s="245">
        <v>107585</v>
      </c>
      <c r="D75" s="245">
        <v>10</v>
      </c>
      <c r="E75" s="225">
        <f t="shared" si="6"/>
        <v>39993</v>
      </c>
      <c r="F75" s="229">
        <f t="shared" si="7"/>
        <v>43209</v>
      </c>
      <c r="G75" s="226">
        <v>38172</v>
      </c>
      <c r="H75" s="522">
        <v>40898</v>
      </c>
      <c r="I75" s="226"/>
      <c r="J75" s="522">
        <v>20</v>
      </c>
      <c r="K75" s="501">
        <v>1821</v>
      </c>
      <c r="L75" s="501"/>
      <c r="M75" s="501"/>
      <c r="N75" s="523">
        <v>2222</v>
      </c>
      <c r="O75" s="523">
        <v>69</v>
      </c>
      <c r="P75" s="523">
        <v>0</v>
      </c>
      <c r="Q75" s="228"/>
      <c r="R75" s="201"/>
      <c r="S75" s="225">
        <f t="shared" si="8"/>
        <v>0</v>
      </c>
      <c r="T75" s="229">
        <f t="shared" si="9"/>
        <v>0</v>
      </c>
      <c r="U75" s="226"/>
      <c r="V75" s="201"/>
      <c r="W75" s="226"/>
      <c r="X75" s="201"/>
      <c r="Y75" s="228"/>
      <c r="Z75" s="228"/>
      <c r="AA75" s="228"/>
      <c r="AB75" s="202"/>
      <c r="AC75" s="202"/>
      <c r="AD75" s="202"/>
      <c r="AE75" s="228"/>
      <c r="AF75" s="240"/>
    </row>
    <row r="76" spans="1:32">
      <c r="A76" s="385" t="s">
        <v>135</v>
      </c>
      <c r="B76" s="386" t="s">
        <v>839</v>
      </c>
      <c r="C76" s="385">
        <v>130943</v>
      </c>
      <c r="D76" s="393">
        <v>1</v>
      </c>
      <c r="E76" s="225">
        <f t="shared" si="6"/>
        <v>501916</v>
      </c>
      <c r="F76" s="229">
        <f t="shared" si="7"/>
        <v>505108</v>
      </c>
      <c r="G76" s="387">
        <v>479434</v>
      </c>
      <c r="H76" s="388">
        <v>481057</v>
      </c>
      <c r="I76" s="387"/>
      <c r="J76" s="388"/>
      <c r="K76" s="389">
        <v>22482</v>
      </c>
      <c r="L76" s="389"/>
      <c r="M76" s="389"/>
      <c r="N76" s="390">
        <v>24051</v>
      </c>
      <c r="O76" s="390"/>
      <c r="P76" s="390"/>
      <c r="Q76" s="389"/>
      <c r="R76" s="388"/>
      <c r="S76" s="225">
        <f t="shared" si="8"/>
        <v>48994</v>
      </c>
      <c r="T76" s="229">
        <f t="shared" si="9"/>
        <v>49635</v>
      </c>
      <c r="U76" s="387">
        <f>48994-Y76-Z76</f>
        <v>45701</v>
      </c>
      <c r="V76" s="388">
        <v>46250</v>
      </c>
      <c r="W76" s="387"/>
      <c r="X76" s="388"/>
      <c r="Y76" s="389">
        <v>3186</v>
      </c>
      <c r="Z76" s="389">
        <v>107</v>
      </c>
      <c r="AA76" s="389"/>
      <c r="AB76" s="390">
        <v>3151</v>
      </c>
      <c r="AC76" s="390">
        <v>234</v>
      </c>
      <c r="AD76" s="390"/>
      <c r="AE76" s="389"/>
      <c r="AF76" s="391"/>
    </row>
    <row r="77" spans="1:32">
      <c r="A77" s="385" t="s">
        <v>135</v>
      </c>
      <c r="B77" s="386" t="s">
        <v>840</v>
      </c>
      <c r="C77" s="385">
        <v>130934</v>
      </c>
      <c r="D77" s="393">
        <v>4</v>
      </c>
      <c r="E77" s="225">
        <f t="shared" si="6"/>
        <v>0</v>
      </c>
      <c r="F77" s="229">
        <f t="shared" si="7"/>
        <v>96583</v>
      </c>
      <c r="G77" s="387"/>
      <c r="H77" s="388">
        <v>96058</v>
      </c>
      <c r="I77" s="387"/>
      <c r="J77" s="388"/>
      <c r="K77" s="389">
        <v>0</v>
      </c>
      <c r="L77" s="389"/>
      <c r="M77" s="389"/>
      <c r="N77" s="390">
        <v>525</v>
      </c>
      <c r="O77" s="390"/>
      <c r="P77" s="390"/>
      <c r="Q77" s="389"/>
      <c r="R77" s="388"/>
      <c r="S77" s="225">
        <f t="shared" si="8"/>
        <v>0</v>
      </c>
      <c r="T77" s="229">
        <f t="shared" si="9"/>
        <v>7075</v>
      </c>
      <c r="U77" s="387">
        <v>0</v>
      </c>
      <c r="V77" s="388">
        <v>6925</v>
      </c>
      <c r="W77" s="387">
        <v>0</v>
      </c>
      <c r="X77" s="388"/>
      <c r="Y77" s="389">
        <v>0</v>
      </c>
      <c r="Z77" s="389">
        <v>0</v>
      </c>
      <c r="AA77" s="389">
        <v>0</v>
      </c>
      <c r="AB77" s="390">
        <v>150</v>
      </c>
      <c r="AC77" s="390"/>
      <c r="AD77" s="390"/>
      <c r="AE77" s="389">
        <v>0</v>
      </c>
      <c r="AF77" s="391"/>
    </row>
    <row r="78" spans="1:32">
      <c r="A78" s="385" t="s">
        <v>135</v>
      </c>
      <c r="B78" s="386" t="s">
        <v>841</v>
      </c>
      <c r="C78" s="385">
        <v>130891</v>
      </c>
      <c r="D78" s="393">
        <v>9</v>
      </c>
      <c r="E78" s="225">
        <f t="shared" si="6"/>
        <v>82970</v>
      </c>
      <c r="F78" s="229">
        <f t="shared" si="7"/>
        <v>83810</v>
      </c>
      <c r="G78" s="387">
        <v>70606</v>
      </c>
      <c r="H78" s="388">
        <v>74456</v>
      </c>
      <c r="I78" s="387"/>
      <c r="J78" s="388"/>
      <c r="K78" s="389">
        <v>7011</v>
      </c>
      <c r="L78" s="389">
        <v>2713</v>
      </c>
      <c r="M78" s="389">
        <v>2640</v>
      </c>
      <c r="N78" s="390">
        <v>6097</v>
      </c>
      <c r="O78" s="390">
        <v>313</v>
      </c>
      <c r="P78" s="390">
        <v>2944</v>
      </c>
      <c r="Q78" s="389"/>
      <c r="R78" s="388"/>
      <c r="S78" s="225">
        <f t="shared" si="8"/>
        <v>0</v>
      </c>
      <c r="T78" s="229">
        <f t="shared" si="9"/>
        <v>0</v>
      </c>
      <c r="U78" s="387"/>
      <c r="V78" s="388"/>
      <c r="W78" s="387"/>
      <c r="X78" s="388"/>
      <c r="Y78" s="389"/>
      <c r="Z78" s="389"/>
      <c r="AA78" s="389"/>
      <c r="AB78" s="390"/>
      <c r="AC78" s="390"/>
      <c r="AD78" s="390"/>
      <c r="AE78" s="389"/>
      <c r="AF78" s="391"/>
    </row>
    <row r="79" spans="1:32">
      <c r="A79" s="385" t="s">
        <v>135</v>
      </c>
      <c r="B79" s="386" t="s">
        <v>842</v>
      </c>
      <c r="C79" s="385">
        <v>130916</v>
      </c>
      <c r="D79" s="393">
        <v>9</v>
      </c>
      <c r="E79" s="225">
        <f t="shared" si="6"/>
        <v>148573</v>
      </c>
      <c r="F79" s="229">
        <f t="shared" si="7"/>
        <v>140557</v>
      </c>
      <c r="G79" s="387">
        <v>132263</v>
      </c>
      <c r="H79" s="388">
        <v>124292</v>
      </c>
      <c r="I79" s="387"/>
      <c r="J79" s="388"/>
      <c r="K79" s="389">
        <v>4889</v>
      </c>
      <c r="L79" s="389">
        <v>216</v>
      </c>
      <c r="M79" s="389">
        <v>11205</v>
      </c>
      <c r="N79" s="390">
        <v>6030</v>
      </c>
      <c r="O79" s="390">
        <v>366</v>
      </c>
      <c r="P79" s="390">
        <v>9869</v>
      </c>
      <c r="Q79" s="389"/>
      <c r="R79" s="388"/>
      <c r="S79" s="225">
        <f t="shared" si="8"/>
        <v>0</v>
      </c>
      <c r="T79" s="229">
        <f t="shared" si="9"/>
        <v>0</v>
      </c>
      <c r="U79" s="387"/>
      <c r="V79" s="388"/>
      <c r="W79" s="387"/>
      <c r="X79" s="388"/>
      <c r="Y79" s="389"/>
      <c r="Z79" s="389"/>
      <c r="AA79" s="389"/>
      <c r="AB79" s="390"/>
      <c r="AC79" s="390"/>
      <c r="AD79" s="390"/>
      <c r="AE79" s="389"/>
      <c r="AF79" s="391"/>
    </row>
    <row r="80" spans="1:32">
      <c r="A80" s="385" t="s">
        <v>135</v>
      </c>
      <c r="B80" s="398" t="s">
        <v>843</v>
      </c>
      <c r="C80" s="385">
        <v>130907</v>
      </c>
      <c r="D80" s="393">
        <v>10</v>
      </c>
      <c r="E80" s="225">
        <f t="shared" si="6"/>
        <v>63108</v>
      </c>
      <c r="F80" s="229">
        <f t="shared" si="7"/>
        <v>64910</v>
      </c>
      <c r="G80" s="387">
        <v>55234</v>
      </c>
      <c r="H80" s="388">
        <v>54591</v>
      </c>
      <c r="I80" s="387"/>
      <c r="J80" s="388"/>
      <c r="K80" s="389">
        <v>5043</v>
      </c>
      <c r="L80" s="389">
        <v>156</v>
      </c>
      <c r="M80" s="389">
        <v>2675</v>
      </c>
      <c r="N80" s="390">
        <v>5619</v>
      </c>
      <c r="O80" s="390">
        <v>27</v>
      </c>
      <c r="P80" s="390">
        <v>4673</v>
      </c>
      <c r="Q80" s="389"/>
      <c r="R80" s="388"/>
      <c r="S80" s="225">
        <f t="shared" si="8"/>
        <v>0</v>
      </c>
      <c r="T80" s="229">
        <f t="shared" si="9"/>
        <v>0</v>
      </c>
      <c r="U80" s="387"/>
      <c r="V80" s="388"/>
      <c r="W80" s="387"/>
      <c r="X80" s="388"/>
      <c r="Y80" s="389"/>
      <c r="Z80" s="389"/>
      <c r="AA80" s="389"/>
      <c r="AB80" s="390"/>
      <c r="AC80" s="390"/>
      <c r="AD80" s="390"/>
      <c r="AE80" s="389"/>
      <c r="AF80" s="391"/>
    </row>
    <row r="81" spans="1:32">
      <c r="A81" s="250" t="s">
        <v>216</v>
      </c>
      <c r="B81" s="248" t="s">
        <v>331</v>
      </c>
      <c r="C81" s="250">
        <v>134097</v>
      </c>
      <c r="D81" s="292">
        <v>1</v>
      </c>
      <c r="E81" s="225">
        <f t="shared" si="6"/>
        <v>903579</v>
      </c>
      <c r="F81" s="229">
        <f t="shared" si="7"/>
        <v>877631</v>
      </c>
      <c r="G81" s="226">
        <v>853868</v>
      </c>
      <c r="H81" s="342">
        <v>820264</v>
      </c>
      <c r="I81" s="226">
        <v>38671</v>
      </c>
      <c r="J81" s="342">
        <v>38525</v>
      </c>
      <c r="K81" s="228">
        <v>11034</v>
      </c>
      <c r="L81" s="228">
        <v>6</v>
      </c>
      <c r="M81" s="228"/>
      <c r="N81" s="343">
        <v>18740</v>
      </c>
      <c r="O81" s="343">
        <v>102</v>
      </c>
      <c r="P81" s="343"/>
      <c r="Q81" s="228"/>
      <c r="R81" s="201"/>
      <c r="S81" s="225">
        <f t="shared" si="8"/>
        <v>175631</v>
      </c>
      <c r="T81" s="229">
        <f t="shared" si="9"/>
        <v>174906</v>
      </c>
      <c r="U81" s="226">
        <v>146136</v>
      </c>
      <c r="V81" s="342">
        <v>145431</v>
      </c>
      <c r="W81" s="226">
        <v>9262</v>
      </c>
      <c r="X81" s="342">
        <v>8741</v>
      </c>
      <c r="Y81" s="228">
        <v>20038</v>
      </c>
      <c r="Z81" s="228"/>
      <c r="AA81" s="228">
        <v>195</v>
      </c>
      <c r="AB81" s="343">
        <v>20545</v>
      </c>
      <c r="AC81" s="343"/>
      <c r="AD81" s="343">
        <v>189</v>
      </c>
      <c r="AE81" s="228"/>
      <c r="AF81" s="240"/>
    </row>
    <row r="82" spans="1:32">
      <c r="A82" s="250" t="s">
        <v>216</v>
      </c>
      <c r="B82" s="248" t="s">
        <v>332</v>
      </c>
      <c r="C82" s="250">
        <v>132903</v>
      </c>
      <c r="D82" s="292">
        <v>1</v>
      </c>
      <c r="E82" s="225">
        <f t="shared" si="6"/>
        <v>1092889</v>
      </c>
      <c r="F82" s="229">
        <f t="shared" si="7"/>
        <v>1147786</v>
      </c>
      <c r="G82" s="226">
        <v>776708</v>
      </c>
      <c r="H82" s="342">
        <v>784548</v>
      </c>
      <c r="I82" s="226">
        <v>106855</v>
      </c>
      <c r="J82" s="344">
        <v>108866</v>
      </c>
      <c r="K82" s="228">
        <v>175185</v>
      </c>
      <c r="L82" s="228">
        <v>3954</v>
      </c>
      <c r="M82" s="228">
        <v>30187</v>
      </c>
      <c r="N82" s="343">
        <v>184738</v>
      </c>
      <c r="O82" s="343">
        <v>31297</v>
      </c>
      <c r="P82" s="343">
        <v>38337</v>
      </c>
      <c r="Q82" s="228"/>
      <c r="R82" s="201"/>
      <c r="S82" s="225">
        <f t="shared" si="8"/>
        <v>112093</v>
      </c>
      <c r="T82" s="229">
        <f t="shared" si="9"/>
        <v>114897</v>
      </c>
      <c r="U82" s="226">
        <v>73744</v>
      </c>
      <c r="V82" s="342">
        <v>72451</v>
      </c>
      <c r="W82" s="226">
        <v>11102</v>
      </c>
      <c r="X82" s="344">
        <v>11202</v>
      </c>
      <c r="Y82" s="228">
        <v>27247</v>
      </c>
      <c r="Z82" s="228"/>
      <c r="AA82" s="228"/>
      <c r="AB82" s="343">
        <v>29240</v>
      </c>
      <c r="AC82" s="343">
        <v>45</v>
      </c>
      <c r="AD82" s="343">
        <v>1959</v>
      </c>
      <c r="AE82" s="228"/>
      <c r="AF82" s="240"/>
    </row>
    <row r="83" spans="1:32">
      <c r="A83" s="250" t="s">
        <v>216</v>
      </c>
      <c r="B83" s="248" t="s">
        <v>333</v>
      </c>
      <c r="C83" s="250">
        <v>134130</v>
      </c>
      <c r="D83" s="292">
        <v>1</v>
      </c>
      <c r="E83" s="225">
        <f t="shared" si="6"/>
        <v>1030375</v>
      </c>
      <c r="F83" s="229">
        <f t="shared" si="7"/>
        <v>1027552</v>
      </c>
      <c r="G83" s="226">
        <v>790288</v>
      </c>
      <c r="H83" s="342">
        <v>828912</v>
      </c>
      <c r="I83" s="226">
        <v>5169</v>
      </c>
      <c r="J83" s="344">
        <v>2478</v>
      </c>
      <c r="K83" s="228">
        <v>32177</v>
      </c>
      <c r="L83" s="228">
        <v>1404</v>
      </c>
      <c r="M83" s="228">
        <v>193767</v>
      </c>
      <c r="N83" s="343">
        <v>32537</v>
      </c>
      <c r="O83" s="343">
        <v>1059</v>
      </c>
      <c r="P83" s="343">
        <v>155476</v>
      </c>
      <c r="Q83" s="228">
        <v>7570</v>
      </c>
      <c r="R83" s="500">
        <v>7090</v>
      </c>
      <c r="S83" s="225">
        <f t="shared" si="8"/>
        <v>299763</v>
      </c>
      <c r="T83" s="229">
        <f t="shared" si="9"/>
        <v>305799</v>
      </c>
      <c r="U83" s="226">
        <v>234264</v>
      </c>
      <c r="V83" s="342">
        <v>248104</v>
      </c>
      <c r="W83" s="226">
        <v>23939</v>
      </c>
      <c r="X83" s="344">
        <v>10884</v>
      </c>
      <c r="Y83" s="228">
        <v>16554</v>
      </c>
      <c r="Z83" s="228">
        <v>2438</v>
      </c>
      <c r="AA83" s="228">
        <v>22568</v>
      </c>
      <c r="AB83" s="343">
        <v>16921</v>
      </c>
      <c r="AC83" s="343">
        <v>2114</v>
      </c>
      <c r="AD83" s="343">
        <v>27776</v>
      </c>
      <c r="AE83" s="228"/>
      <c r="AF83" s="240"/>
    </row>
    <row r="84" spans="1:32">
      <c r="A84" s="250" t="s">
        <v>216</v>
      </c>
      <c r="B84" s="248" t="s">
        <v>334</v>
      </c>
      <c r="C84" s="250">
        <v>137351</v>
      </c>
      <c r="D84" s="292">
        <v>1</v>
      </c>
      <c r="E84" s="225">
        <f t="shared" si="6"/>
        <v>924693</v>
      </c>
      <c r="F84" s="229">
        <f t="shared" si="7"/>
        <v>936609</v>
      </c>
      <c r="G84" s="226">
        <v>624536</v>
      </c>
      <c r="H84" s="342">
        <v>624130</v>
      </c>
      <c r="I84" s="226">
        <v>136602</v>
      </c>
      <c r="J84" s="344">
        <v>127582</v>
      </c>
      <c r="K84" s="228">
        <v>120568</v>
      </c>
      <c r="L84" s="228">
        <v>285</v>
      </c>
      <c r="M84" s="228">
        <v>42702</v>
      </c>
      <c r="N84" s="343">
        <v>150719</v>
      </c>
      <c r="O84" s="343">
        <v>2345</v>
      </c>
      <c r="P84" s="343">
        <v>31833</v>
      </c>
      <c r="Q84" s="228"/>
      <c r="R84" s="201"/>
      <c r="S84" s="225">
        <f t="shared" si="8"/>
        <v>165321</v>
      </c>
      <c r="T84" s="229">
        <f t="shared" si="9"/>
        <v>173086</v>
      </c>
      <c r="U84" s="226">
        <v>97863</v>
      </c>
      <c r="V84" s="342">
        <v>97121</v>
      </c>
      <c r="W84" s="226">
        <v>38733</v>
      </c>
      <c r="X84" s="344">
        <v>38427</v>
      </c>
      <c r="Y84" s="228">
        <v>28509</v>
      </c>
      <c r="Z84" s="228">
        <v>123</v>
      </c>
      <c r="AA84" s="228">
        <v>93</v>
      </c>
      <c r="AB84" s="343">
        <v>35942</v>
      </c>
      <c r="AC84" s="343">
        <v>845</v>
      </c>
      <c r="AD84" s="343">
        <v>751</v>
      </c>
      <c r="AE84" s="228"/>
      <c r="AF84" s="240"/>
    </row>
    <row r="85" spans="1:32">
      <c r="A85" s="250" t="s">
        <v>216</v>
      </c>
      <c r="B85" s="248" t="s">
        <v>335</v>
      </c>
      <c r="C85" s="250">
        <v>133669</v>
      </c>
      <c r="D85" s="252">
        <v>2</v>
      </c>
      <c r="E85" s="225">
        <f t="shared" si="6"/>
        <v>517081</v>
      </c>
      <c r="F85" s="229">
        <f t="shared" si="7"/>
        <v>511345</v>
      </c>
      <c r="G85" s="226">
        <v>300959</v>
      </c>
      <c r="H85" s="342">
        <v>362188</v>
      </c>
      <c r="I85" s="226">
        <v>109163</v>
      </c>
      <c r="J85" s="344">
        <v>116314</v>
      </c>
      <c r="K85" s="228">
        <v>99627</v>
      </c>
      <c r="L85" s="228">
        <v>6924</v>
      </c>
      <c r="M85" s="228">
        <v>408</v>
      </c>
      <c r="N85" s="343">
        <v>24264</v>
      </c>
      <c r="O85" s="343">
        <v>8303</v>
      </c>
      <c r="P85" s="343">
        <v>276</v>
      </c>
      <c r="Q85" s="228"/>
      <c r="R85" s="201"/>
      <c r="S85" s="225">
        <f t="shared" si="8"/>
        <v>68464</v>
      </c>
      <c r="T85" s="229">
        <f t="shared" si="9"/>
        <v>65444</v>
      </c>
      <c r="U85" s="226">
        <v>30913</v>
      </c>
      <c r="V85" s="342">
        <v>37216</v>
      </c>
      <c r="W85" s="226">
        <v>12068</v>
      </c>
      <c r="X85" s="344">
        <v>14000</v>
      </c>
      <c r="Y85" s="228">
        <v>22751</v>
      </c>
      <c r="Z85" s="228">
        <v>1286</v>
      </c>
      <c r="AA85" s="228">
        <v>1446</v>
      </c>
      <c r="AB85" s="343">
        <v>11749</v>
      </c>
      <c r="AC85" s="343">
        <v>1483</v>
      </c>
      <c r="AD85" s="343">
        <v>996</v>
      </c>
      <c r="AE85" s="228"/>
      <c r="AF85" s="240"/>
    </row>
    <row r="86" spans="1:32">
      <c r="A86" s="250" t="s">
        <v>216</v>
      </c>
      <c r="B86" s="248" t="s">
        <v>336</v>
      </c>
      <c r="C86" s="250">
        <v>133951</v>
      </c>
      <c r="D86" s="252">
        <v>2</v>
      </c>
      <c r="E86" s="225">
        <f t="shared" si="6"/>
        <v>832026</v>
      </c>
      <c r="F86" s="229">
        <f t="shared" si="7"/>
        <v>804607</v>
      </c>
      <c r="G86" s="226">
        <v>546421</v>
      </c>
      <c r="H86" s="342">
        <v>531139</v>
      </c>
      <c r="I86" s="226">
        <v>136711</v>
      </c>
      <c r="J86" s="344">
        <v>131345</v>
      </c>
      <c r="K86" s="228">
        <v>146610</v>
      </c>
      <c r="L86" s="228">
        <v>1407</v>
      </c>
      <c r="M86" s="228">
        <v>877</v>
      </c>
      <c r="N86" s="343">
        <v>140673</v>
      </c>
      <c r="O86" s="343">
        <v>762</v>
      </c>
      <c r="P86" s="343">
        <v>688</v>
      </c>
      <c r="Q86" s="228"/>
      <c r="R86" s="201"/>
      <c r="S86" s="225">
        <f t="shared" si="8"/>
        <v>129291</v>
      </c>
      <c r="T86" s="229">
        <f t="shared" si="9"/>
        <v>127088</v>
      </c>
      <c r="U86" s="226">
        <v>97978</v>
      </c>
      <c r="V86" s="342">
        <v>101212</v>
      </c>
      <c r="W86" s="226">
        <v>22020</v>
      </c>
      <c r="X86" s="344">
        <v>18345</v>
      </c>
      <c r="Y86" s="228">
        <v>8609</v>
      </c>
      <c r="Z86" s="228"/>
      <c r="AA86" s="228">
        <v>684</v>
      </c>
      <c r="AB86" s="343">
        <v>6769</v>
      </c>
      <c r="AC86" s="343"/>
      <c r="AD86" s="343">
        <v>762</v>
      </c>
      <c r="AE86" s="228"/>
      <c r="AF86" s="240"/>
    </row>
    <row r="87" spans="1:32">
      <c r="A87" s="250" t="s">
        <v>216</v>
      </c>
      <c r="B87" s="248" t="s">
        <v>337</v>
      </c>
      <c r="C87" s="250">
        <v>133650</v>
      </c>
      <c r="D87" s="252">
        <v>3</v>
      </c>
      <c r="E87" s="225">
        <f t="shared" si="6"/>
        <v>267833</v>
      </c>
      <c r="F87" s="229">
        <f t="shared" si="7"/>
        <v>264121</v>
      </c>
      <c r="G87" s="226">
        <v>262513</v>
      </c>
      <c r="H87" s="342">
        <v>259175</v>
      </c>
      <c r="I87" s="226">
        <v>5320</v>
      </c>
      <c r="J87" s="344">
        <v>4946</v>
      </c>
      <c r="K87" s="228"/>
      <c r="L87" s="228"/>
      <c r="M87" s="228"/>
      <c r="N87" s="343"/>
      <c r="O87" s="343"/>
      <c r="P87" s="343"/>
      <c r="Q87" s="228"/>
      <c r="R87" s="201"/>
      <c r="S87" s="225">
        <f t="shared" si="8"/>
        <v>43150</v>
      </c>
      <c r="T87" s="229">
        <f t="shared" si="9"/>
        <v>45785</v>
      </c>
      <c r="U87" s="226">
        <v>27157</v>
      </c>
      <c r="V87" s="342">
        <v>28881</v>
      </c>
      <c r="W87" s="226">
        <v>15993</v>
      </c>
      <c r="X87" s="344">
        <v>16904</v>
      </c>
      <c r="Y87" s="228"/>
      <c r="Z87" s="228"/>
      <c r="AA87" s="228"/>
      <c r="AB87" s="343"/>
      <c r="AC87" s="343"/>
      <c r="AD87" s="343"/>
      <c r="AE87" s="228"/>
      <c r="AF87" s="240"/>
    </row>
    <row r="88" spans="1:32">
      <c r="A88" s="250" t="s">
        <v>216</v>
      </c>
      <c r="B88" s="248" t="s">
        <v>338</v>
      </c>
      <c r="C88" s="250">
        <v>136172</v>
      </c>
      <c r="D88" s="252">
        <v>3</v>
      </c>
      <c r="E88" s="225">
        <f t="shared" si="6"/>
        <v>381362</v>
      </c>
      <c r="F88" s="229">
        <f t="shared" si="7"/>
        <v>367021</v>
      </c>
      <c r="G88" s="226">
        <v>362230</v>
      </c>
      <c r="H88" s="342">
        <v>349365</v>
      </c>
      <c r="I88" s="226">
        <v>5884</v>
      </c>
      <c r="J88" s="344">
        <v>5313</v>
      </c>
      <c r="K88" s="228">
        <v>12906</v>
      </c>
      <c r="L88" s="228">
        <v>6</v>
      </c>
      <c r="M88" s="228">
        <v>336</v>
      </c>
      <c r="N88" s="343">
        <v>12343</v>
      </c>
      <c r="O88" s="343"/>
      <c r="P88" s="343"/>
      <c r="Q88" s="228"/>
      <c r="R88" s="201"/>
      <c r="S88" s="225">
        <f t="shared" si="8"/>
        <v>29611</v>
      </c>
      <c r="T88" s="229">
        <f t="shared" si="9"/>
        <v>32547</v>
      </c>
      <c r="U88" s="226">
        <v>25867</v>
      </c>
      <c r="V88" s="342">
        <v>28345</v>
      </c>
      <c r="W88" s="226">
        <v>2236</v>
      </c>
      <c r="X88" s="344">
        <v>2506</v>
      </c>
      <c r="Y88" s="228">
        <v>1460</v>
      </c>
      <c r="Z88" s="228"/>
      <c r="AA88" s="228">
        <v>48</v>
      </c>
      <c r="AB88" s="343">
        <v>1690</v>
      </c>
      <c r="AC88" s="343"/>
      <c r="AD88" s="343">
        <v>6</v>
      </c>
      <c r="AE88" s="228"/>
      <c r="AF88" s="240"/>
    </row>
    <row r="89" spans="1:32">
      <c r="A89" s="250" t="s">
        <v>216</v>
      </c>
      <c r="B89" s="248" t="s">
        <v>339</v>
      </c>
      <c r="C89" s="250">
        <v>138354</v>
      </c>
      <c r="D89" s="252">
        <v>3</v>
      </c>
      <c r="E89" s="225">
        <f t="shared" si="6"/>
        <v>217790</v>
      </c>
      <c r="F89" s="229">
        <f t="shared" si="7"/>
        <v>221680</v>
      </c>
      <c r="G89" s="226">
        <v>140531</v>
      </c>
      <c r="H89" s="342">
        <v>139936</v>
      </c>
      <c r="I89" s="226">
        <v>9791</v>
      </c>
      <c r="J89" s="344">
        <v>7980</v>
      </c>
      <c r="K89" s="228">
        <v>63306</v>
      </c>
      <c r="L89" s="228">
        <v>4162</v>
      </c>
      <c r="M89" s="228"/>
      <c r="N89" s="343">
        <v>70452</v>
      </c>
      <c r="O89" s="343">
        <v>3312</v>
      </c>
      <c r="P89" s="343"/>
      <c r="Q89" s="228"/>
      <c r="R89" s="201"/>
      <c r="S89" s="225">
        <f t="shared" si="8"/>
        <v>23420.5</v>
      </c>
      <c r="T89" s="229">
        <f t="shared" si="9"/>
        <v>23149</v>
      </c>
      <c r="U89" s="226">
        <v>9501.5</v>
      </c>
      <c r="V89" s="342">
        <v>8551.5</v>
      </c>
      <c r="W89" s="226">
        <v>1518</v>
      </c>
      <c r="X89" s="344">
        <v>803</v>
      </c>
      <c r="Y89" s="228">
        <v>12249.5</v>
      </c>
      <c r="Z89" s="228">
        <v>151.5</v>
      </c>
      <c r="AA89" s="228"/>
      <c r="AB89" s="343">
        <v>13646</v>
      </c>
      <c r="AC89" s="343">
        <v>148.5</v>
      </c>
      <c r="AD89" s="343"/>
      <c r="AE89" s="228"/>
      <c r="AF89" s="240"/>
    </row>
    <row r="90" spans="1:32">
      <c r="A90" s="250" t="s">
        <v>216</v>
      </c>
      <c r="B90" s="249" t="s">
        <v>340</v>
      </c>
      <c r="C90" s="250">
        <v>433660</v>
      </c>
      <c r="D90" s="251">
        <v>4</v>
      </c>
      <c r="E90" s="225">
        <f t="shared" si="6"/>
        <v>197014</v>
      </c>
      <c r="F90" s="229">
        <f t="shared" si="7"/>
        <v>221970</v>
      </c>
      <c r="G90" s="226">
        <v>158882</v>
      </c>
      <c r="H90" s="342">
        <v>179182</v>
      </c>
      <c r="I90" s="226">
        <v>5756</v>
      </c>
      <c r="J90" s="344">
        <v>5453</v>
      </c>
      <c r="K90" s="228">
        <v>27264</v>
      </c>
      <c r="L90" s="228"/>
      <c r="M90" s="228">
        <v>5112</v>
      </c>
      <c r="N90" s="343">
        <v>37335</v>
      </c>
      <c r="O90" s="343"/>
      <c r="P90" s="343"/>
      <c r="Q90" s="228"/>
      <c r="R90" s="201"/>
      <c r="S90" s="225">
        <f t="shared" si="8"/>
        <v>15997</v>
      </c>
      <c r="T90" s="229">
        <f t="shared" si="9"/>
        <v>18840</v>
      </c>
      <c r="U90" s="226">
        <v>9340</v>
      </c>
      <c r="V90" s="342">
        <v>10714</v>
      </c>
      <c r="W90" s="226">
        <v>1218</v>
      </c>
      <c r="X90" s="344">
        <v>641</v>
      </c>
      <c r="Y90" s="228">
        <v>5208</v>
      </c>
      <c r="Z90" s="228"/>
      <c r="AA90" s="228">
        <v>231</v>
      </c>
      <c r="AB90" s="343">
        <v>7485</v>
      </c>
      <c r="AC90" s="343"/>
      <c r="AD90" s="343"/>
      <c r="AE90" s="228"/>
      <c r="AF90" s="240"/>
    </row>
    <row r="91" spans="1:32">
      <c r="A91" s="250" t="s">
        <v>216</v>
      </c>
      <c r="B91" s="248" t="s">
        <v>341</v>
      </c>
      <c r="C91" s="250">
        <v>262129</v>
      </c>
      <c r="D91" s="252">
        <v>6</v>
      </c>
      <c r="E91" s="225">
        <f t="shared" si="6"/>
        <v>25748</v>
      </c>
      <c r="F91" s="229">
        <f t="shared" si="7"/>
        <v>26784</v>
      </c>
      <c r="G91" s="226">
        <v>25748</v>
      </c>
      <c r="H91" s="342">
        <v>26784</v>
      </c>
      <c r="I91" s="226"/>
      <c r="J91" s="201"/>
      <c r="K91" s="228"/>
      <c r="L91" s="228"/>
      <c r="M91" s="228"/>
      <c r="N91" s="202"/>
      <c r="O91" s="202"/>
      <c r="P91" s="202"/>
      <c r="Q91" s="228"/>
      <c r="R91" s="201"/>
      <c r="S91" s="225">
        <f t="shared" si="8"/>
        <v>0</v>
      </c>
      <c r="T91" s="229">
        <f t="shared" si="9"/>
        <v>0</v>
      </c>
      <c r="U91" s="226"/>
      <c r="V91" s="201"/>
      <c r="W91" s="226"/>
      <c r="X91" s="201"/>
      <c r="Y91" s="228"/>
      <c r="Z91" s="228"/>
      <c r="AA91" s="228"/>
      <c r="AB91" s="202"/>
      <c r="AC91" s="202"/>
      <c r="AD91" s="202"/>
      <c r="AE91" s="228"/>
      <c r="AF91" s="240"/>
    </row>
    <row r="92" spans="1:32">
      <c r="A92" s="345" t="s">
        <v>216</v>
      </c>
      <c r="B92" s="346" t="s">
        <v>308</v>
      </c>
      <c r="C92" s="345">
        <v>133021</v>
      </c>
      <c r="D92" s="345">
        <v>7</v>
      </c>
      <c r="E92" s="225">
        <f t="shared" si="6"/>
        <v>39321</v>
      </c>
      <c r="F92" s="229">
        <f t="shared" si="7"/>
        <v>43317</v>
      </c>
      <c r="G92" s="226">
        <v>35694</v>
      </c>
      <c r="H92" s="201">
        <v>39103</v>
      </c>
      <c r="I92" s="226">
        <v>2469</v>
      </c>
      <c r="J92" s="201">
        <v>2431</v>
      </c>
      <c r="K92" s="228">
        <v>390</v>
      </c>
      <c r="L92" s="228">
        <v>0</v>
      </c>
      <c r="M92" s="228">
        <v>0</v>
      </c>
      <c r="N92" s="202">
        <v>894</v>
      </c>
      <c r="O92" s="202">
        <v>0</v>
      </c>
      <c r="P92" s="202">
        <v>0</v>
      </c>
      <c r="Q92" s="228">
        <v>768</v>
      </c>
      <c r="R92" s="201">
        <v>889</v>
      </c>
      <c r="S92" s="225">
        <f t="shared" si="8"/>
        <v>0</v>
      </c>
      <c r="T92" s="229">
        <f t="shared" si="9"/>
        <v>0</v>
      </c>
      <c r="U92" s="226"/>
      <c r="V92" s="201"/>
      <c r="W92" s="226"/>
      <c r="X92" s="201"/>
      <c r="Y92" s="228"/>
      <c r="Z92" s="228"/>
      <c r="AA92" s="228"/>
      <c r="AB92" s="202"/>
      <c r="AC92" s="202"/>
      <c r="AD92" s="202"/>
      <c r="AE92" s="228"/>
      <c r="AF92" s="240"/>
    </row>
    <row r="93" spans="1:32">
      <c r="A93" s="345" t="s">
        <v>216</v>
      </c>
      <c r="B93" s="346" t="s">
        <v>318</v>
      </c>
      <c r="C93" s="345">
        <v>135717</v>
      </c>
      <c r="D93" s="345">
        <v>7</v>
      </c>
      <c r="E93" s="225">
        <f t="shared" si="6"/>
        <v>1281222</v>
      </c>
      <c r="F93" s="229">
        <f t="shared" si="7"/>
        <v>1354186</v>
      </c>
      <c r="G93" s="226">
        <v>1192055</v>
      </c>
      <c r="H93" s="201">
        <v>1255089</v>
      </c>
      <c r="I93" s="226">
        <v>20681</v>
      </c>
      <c r="J93" s="201">
        <v>25305</v>
      </c>
      <c r="K93" s="228">
        <v>50202</v>
      </c>
      <c r="L93" s="228">
        <v>0</v>
      </c>
      <c r="M93" s="228">
        <v>5898</v>
      </c>
      <c r="N93" s="202">
        <v>14006</v>
      </c>
      <c r="O93" s="202">
        <v>0</v>
      </c>
      <c r="P93" s="202">
        <v>57865</v>
      </c>
      <c r="Q93" s="228">
        <v>12386</v>
      </c>
      <c r="R93" s="201">
        <v>1921</v>
      </c>
      <c r="S93" s="225">
        <f t="shared" si="8"/>
        <v>0</v>
      </c>
      <c r="T93" s="229">
        <f t="shared" si="9"/>
        <v>0</v>
      </c>
      <c r="U93" s="226"/>
      <c r="V93" s="201"/>
      <c r="W93" s="226"/>
      <c r="X93" s="201"/>
      <c r="Y93" s="228"/>
      <c r="Z93" s="228"/>
      <c r="AA93" s="228"/>
      <c r="AB93" s="202"/>
      <c r="AC93" s="202"/>
      <c r="AD93" s="202"/>
      <c r="AE93" s="228"/>
      <c r="AF93" s="240"/>
    </row>
    <row r="94" spans="1:32">
      <c r="A94" s="345" t="s">
        <v>216</v>
      </c>
      <c r="B94" s="253" t="s">
        <v>833</v>
      </c>
      <c r="C94" s="254">
        <v>136233</v>
      </c>
      <c r="D94" s="255">
        <v>7</v>
      </c>
      <c r="E94" s="225">
        <f t="shared" si="6"/>
        <v>139196</v>
      </c>
      <c r="F94" s="229">
        <f t="shared" si="7"/>
        <v>150725</v>
      </c>
      <c r="G94" s="226">
        <v>90910</v>
      </c>
      <c r="H94" s="201">
        <v>96746</v>
      </c>
      <c r="I94" s="226">
        <v>20247</v>
      </c>
      <c r="J94" s="201">
        <v>20382</v>
      </c>
      <c r="K94" s="228">
        <v>13078</v>
      </c>
      <c r="L94" s="228">
        <v>0</v>
      </c>
      <c r="M94" s="228">
        <v>0</v>
      </c>
      <c r="N94" s="202">
        <v>15828</v>
      </c>
      <c r="O94" s="202">
        <v>0</v>
      </c>
      <c r="P94" s="202">
        <v>3933</v>
      </c>
      <c r="Q94" s="228">
        <v>14961</v>
      </c>
      <c r="R94" s="201">
        <v>13836</v>
      </c>
      <c r="S94" s="225">
        <f t="shared" si="8"/>
        <v>0</v>
      </c>
      <c r="T94" s="229">
        <f t="shared" si="9"/>
        <v>0</v>
      </c>
      <c r="U94" s="226"/>
      <c r="V94" s="201"/>
      <c r="W94" s="226"/>
      <c r="X94" s="201"/>
      <c r="Y94" s="228"/>
      <c r="Z94" s="228"/>
      <c r="AA94" s="228"/>
      <c r="AB94" s="202"/>
      <c r="AC94" s="202"/>
      <c r="AD94" s="202"/>
      <c r="AE94" s="228"/>
      <c r="AF94" s="240"/>
    </row>
    <row r="95" spans="1:32">
      <c r="A95" s="345" t="s">
        <v>216</v>
      </c>
      <c r="B95" s="346" t="s">
        <v>325</v>
      </c>
      <c r="C95" s="345">
        <v>137078</v>
      </c>
      <c r="D95" s="345">
        <v>7</v>
      </c>
      <c r="E95" s="225">
        <f t="shared" si="6"/>
        <v>499951</v>
      </c>
      <c r="F95" s="229">
        <f t="shared" si="7"/>
        <v>526777</v>
      </c>
      <c r="G95" s="226">
        <v>319584</v>
      </c>
      <c r="H95" s="201">
        <v>325789</v>
      </c>
      <c r="I95" s="226">
        <v>8474</v>
      </c>
      <c r="J95" s="201">
        <v>4719</v>
      </c>
      <c r="K95" s="228">
        <v>148316</v>
      </c>
      <c r="L95" s="228">
        <v>240</v>
      </c>
      <c r="M95" s="228">
        <v>19408</v>
      </c>
      <c r="N95" s="202">
        <v>167961</v>
      </c>
      <c r="O95" s="202">
        <v>219</v>
      </c>
      <c r="P95" s="202">
        <v>24549</v>
      </c>
      <c r="Q95" s="228">
        <v>3929</v>
      </c>
      <c r="R95" s="201">
        <v>3540</v>
      </c>
      <c r="S95" s="225">
        <f t="shared" si="8"/>
        <v>0</v>
      </c>
      <c r="T95" s="229">
        <f t="shared" si="9"/>
        <v>0</v>
      </c>
      <c r="U95" s="226"/>
      <c r="V95" s="201"/>
      <c r="W95" s="226"/>
      <c r="X95" s="201"/>
      <c r="Y95" s="228"/>
      <c r="Z95" s="228"/>
      <c r="AA95" s="228"/>
      <c r="AB95" s="202"/>
      <c r="AC95" s="202"/>
      <c r="AD95" s="202"/>
      <c r="AE95" s="228"/>
      <c r="AF95" s="240"/>
    </row>
    <row r="96" spans="1:32">
      <c r="A96" s="345" t="s">
        <v>216</v>
      </c>
      <c r="B96" s="346" t="s">
        <v>305</v>
      </c>
      <c r="C96" s="345">
        <v>132693</v>
      </c>
      <c r="D96" s="345">
        <v>8</v>
      </c>
      <c r="E96" s="225">
        <f t="shared" si="6"/>
        <v>269831</v>
      </c>
      <c r="F96" s="229">
        <f t="shared" si="7"/>
        <v>294236</v>
      </c>
      <c r="G96" s="226">
        <v>206206</v>
      </c>
      <c r="H96" s="201">
        <v>215445</v>
      </c>
      <c r="I96" s="226">
        <v>10142</v>
      </c>
      <c r="J96" s="201">
        <v>10197</v>
      </c>
      <c r="K96" s="228">
        <v>47971</v>
      </c>
      <c r="L96" s="228">
        <v>0</v>
      </c>
      <c r="M96" s="228">
        <v>5512</v>
      </c>
      <c r="N96" s="202">
        <v>54977</v>
      </c>
      <c r="O96" s="202">
        <v>0</v>
      </c>
      <c r="P96" s="202">
        <v>13617</v>
      </c>
      <c r="Q96" s="228">
        <v>0</v>
      </c>
      <c r="R96" s="201">
        <v>0</v>
      </c>
      <c r="S96" s="225">
        <f t="shared" si="8"/>
        <v>0</v>
      </c>
      <c r="T96" s="229">
        <f t="shared" si="9"/>
        <v>0</v>
      </c>
      <c r="U96" s="226"/>
      <c r="V96" s="201"/>
      <c r="W96" s="226"/>
      <c r="X96" s="201"/>
      <c r="Y96" s="228"/>
      <c r="Z96" s="228"/>
      <c r="AA96" s="228"/>
      <c r="AB96" s="202"/>
      <c r="AC96" s="202"/>
      <c r="AD96" s="202"/>
      <c r="AE96" s="228"/>
      <c r="AF96" s="240"/>
    </row>
    <row r="97" spans="1:32">
      <c r="A97" s="345" t="s">
        <v>216</v>
      </c>
      <c r="B97" s="346" t="s">
        <v>306</v>
      </c>
      <c r="C97" s="345">
        <v>132709</v>
      </c>
      <c r="D97" s="345">
        <v>8</v>
      </c>
      <c r="E97" s="225">
        <f t="shared" si="6"/>
        <v>651290</v>
      </c>
      <c r="F97" s="229">
        <f t="shared" si="7"/>
        <v>694111</v>
      </c>
      <c r="G97" s="226">
        <v>559146</v>
      </c>
      <c r="H97" s="201">
        <v>579895</v>
      </c>
      <c r="I97" s="226">
        <v>32901</v>
      </c>
      <c r="J97" s="201">
        <v>35695</v>
      </c>
      <c r="K97" s="228">
        <v>38757</v>
      </c>
      <c r="L97" s="228">
        <v>1171</v>
      </c>
      <c r="M97" s="228">
        <v>16834</v>
      </c>
      <c r="N97" s="202">
        <v>48353</v>
      </c>
      <c r="O97" s="202">
        <v>1154</v>
      </c>
      <c r="P97" s="202">
        <v>27487</v>
      </c>
      <c r="Q97" s="228">
        <v>2481</v>
      </c>
      <c r="R97" s="201">
        <v>1527</v>
      </c>
      <c r="S97" s="225">
        <f t="shared" si="8"/>
        <v>0</v>
      </c>
      <c r="T97" s="229">
        <f t="shared" si="9"/>
        <v>0</v>
      </c>
      <c r="U97" s="226"/>
      <c r="V97" s="201"/>
      <c r="W97" s="226"/>
      <c r="X97" s="201"/>
      <c r="Y97" s="228"/>
      <c r="Z97" s="228"/>
      <c r="AA97" s="228"/>
      <c r="AB97" s="202"/>
      <c r="AC97" s="202"/>
      <c r="AD97" s="202"/>
      <c r="AE97" s="228"/>
      <c r="AF97" s="240"/>
    </row>
    <row r="98" spans="1:32">
      <c r="A98" s="345" t="s">
        <v>216</v>
      </c>
      <c r="B98" s="256" t="s">
        <v>309</v>
      </c>
      <c r="C98" s="345">
        <v>133386</v>
      </c>
      <c r="D98" s="345">
        <v>8</v>
      </c>
      <c r="E98" s="225">
        <f t="shared" si="6"/>
        <v>250783</v>
      </c>
      <c r="F98" s="229">
        <f t="shared" si="7"/>
        <v>300378</v>
      </c>
      <c r="G98" s="226">
        <v>221999</v>
      </c>
      <c r="H98" s="201">
        <v>244413</v>
      </c>
      <c r="I98" s="226">
        <v>0</v>
      </c>
      <c r="J98" s="201">
        <v>0</v>
      </c>
      <c r="K98" s="228">
        <v>22448</v>
      </c>
      <c r="L98" s="228">
        <v>3054</v>
      </c>
      <c r="M98" s="228">
        <v>3282</v>
      </c>
      <c r="N98" s="202">
        <v>42001</v>
      </c>
      <c r="O98" s="202">
        <v>3965</v>
      </c>
      <c r="P98" s="202">
        <v>9999</v>
      </c>
      <c r="Q98" s="228">
        <v>0</v>
      </c>
      <c r="R98" s="201">
        <v>0</v>
      </c>
      <c r="S98" s="225">
        <f t="shared" si="8"/>
        <v>0</v>
      </c>
      <c r="T98" s="229">
        <f t="shared" si="9"/>
        <v>0</v>
      </c>
      <c r="U98" s="226"/>
      <c r="V98" s="201"/>
      <c r="W98" s="226"/>
      <c r="X98" s="201"/>
      <c r="Y98" s="228"/>
      <c r="Z98" s="228"/>
      <c r="AA98" s="228"/>
      <c r="AB98" s="202"/>
      <c r="AC98" s="202"/>
      <c r="AD98" s="202"/>
      <c r="AE98" s="228"/>
      <c r="AF98" s="240"/>
    </row>
    <row r="99" spans="1:32">
      <c r="A99" s="345" t="s">
        <v>216</v>
      </c>
      <c r="B99" s="256" t="s">
        <v>834</v>
      </c>
      <c r="C99" s="345">
        <v>133508</v>
      </c>
      <c r="D99" s="345">
        <v>8</v>
      </c>
      <c r="E99" s="225">
        <f t="shared" si="6"/>
        <v>229887</v>
      </c>
      <c r="F99" s="229">
        <f t="shared" si="7"/>
        <v>260068</v>
      </c>
      <c r="G99" s="226">
        <v>198499</v>
      </c>
      <c r="H99" s="201">
        <v>222377</v>
      </c>
      <c r="I99" s="226">
        <v>15467</v>
      </c>
      <c r="J99" s="201">
        <v>11501</v>
      </c>
      <c r="K99" s="228">
        <v>8012</v>
      </c>
      <c r="L99" s="228">
        <v>0</v>
      </c>
      <c r="M99" s="228">
        <v>7699</v>
      </c>
      <c r="N99" s="202">
        <v>21529</v>
      </c>
      <c r="O99" s="202">
        <v>0</v>
      </c>
      <c r="P99" s="202">
        <v>4511</v>
      </c>
      <c r="Q99" s="228">
        <v>210</v>
      </c>
      <c r="R99" s="201">
        <v>150</v>
      </c>
      <c r="S99" s="225">
        <f t="shared" si="8"/>
        <v>0</v>
      </c>
      <c r="T99" s="229">
        <f t="shared" si="9"/>
        <v>0</v>
      </c>
      <c r="U99" s="226"/>
      <c r="V99" s="201"/>
      <c r="W99" s="226"/>
      <c r="X99" s="201"/>
      <c r="Y99" s="228"/>
      <c r="Z99" s="228"/>
      <c r="AA99" s="228"/>
      <c r="AB99" s="202"/>
      <c r="AC99" s="202"/>
      <c r="AD99" s="202"/>
      <c r="AE99" s="228"/>
      <c r="AF99" s="240"/>
    </row>
    <row r="100" spans="1:32">
      <c r="A100" s="345" t="s">
        <v>216</v>
      </c>
      <c r="B100" s="346" t="s">
        <v>310</v>
      </c>
      <c r="C100" s="345">
        <v>133702</v>
      </c>
      <c r="D100" s="345">
        <v>8</v>
      </c>
      <c r="E100" s="225">
        <f t="shared" si="6"/>
        <v>465690</v>
      </c>
      <c r="F100" s="229">
        <f t="shared" si="7"/>
        <v>503095</v>
      </c>
      <c r="G100" s="226">
        <v>314529</v>
      </c>
      <c r="H100" s="201">
        <v>320086</v>
      </c>
      <c r="I100" s="226">
        <v>19990</v>
      </c>
      <c r="J100" s="201">
        <v>7112</v>
      </c>
      <c r="K100" s="228">
        <v>107216</v>
      </c>
      <c r="L100" s="228">
        <v>2</v>
      </c>
      <c r="M100" s="228">
        <v>23355</v>
      </c>
      <c r="N100" s="202">
        <v>127100</v>
      </c>
      <c r="O100" s="202">
        <v>0</v>
      </c>
      <c r="P100" s="202">
        <v>48189</v>
      </c>
      <c r="Q100" s="228">
        <v>598</v>
      </c>
      <c r="R100" s="201">
        <v>608</v>
      </c>
      <c r="S100" s="225">
        <f t="shared" si="8"/>
        <v>0</v>
      </c>
      <c r="T100" s="229">
        <f t="shared" si="9"/>
        <v>0</v>
      </c>
      <c r="U100" s="226"/>
      <c r="V100" s="201"/>
      <c r="W100" s="226"/>
      <c r="X100" s="201"/>
      <c r="Y100" s="228"/>
      <c r="Z100" s="228"/>
      <c r="AA100" s="228"/>
      <c r="AB100" s="202"/>
      <c r="AC100" s="202"/>
      <c r="AD100" s="202"/>
      <c r="AE100" s="228"/>
      <c r="AF100" s="240"/>
    </row>
    <row r="101" spans="1:32">
      <c r="A101" s="345" t="s">
        <v>216</v>
      </c>
      <c r="B101" s="346" t="s">
        <v>313</v>
      </c>
      <c r="C101" s="345">
        <v>134495</v>
      </c>
      <c r="D101" s="345">
        <v>8</v>
      </c>
      <c r="E101" s="225">
        <f t="shared" si="6"/>
        <v>438421</v>
      </c>
      <c r="F101" s="229">
        <f t="shared" si="7"/>
        <v>464794</v>
      </c>
      <c r="G101" s="226">
        <v>393056</v>
      </c>
      <c r="H101" s="201">
        <v>407985</v>
      </c>
      <c r="I101" s="226">
        <v>16173</v>
      </c>
      <c r="J101" s="201">
        <v>15161</v>
      </c>
      <c r="K101" s="228">
        <v>26571</v>
      </c>
      <c r="L101" s="228">
        <v>0</v>
      </c>
      <c r="M101" s="228">
        <v>2621</v>
      </c>
      <c r="N101" s="202">
        <v>38151</v>
      </c>
      <c r="O101" s="202">
        <v>0</v>
      </c>
      <c r="P101" s="202">
        <v>3497</v>
      </c>
      <c r="Q101" s="228">
        <v>0</v>
      </c>
      <c r="R101" s="201">
        <v>0</v>
      </c>
      <c r="S101" s="225">
        <f t="shared" si="8"/>
        <v>0</v>
      </c>
      <c r="T101" s="229">
        <f t="shared" si="9"/>
        <v>0</v>
      </c>
      <c r="U101" s="226"/>
      <c r="V101" s="201"/>
      <c r="W101" s="226"/>
      <c r="X101" s="201"/>
      <c r="Y101" s="228"/>
      <c r="Z101" s="228"/>
      <c r="AA101" s="228"/>
      <c r="AB101" s="202"/>
      <c r="AC101" s="202"/>
      <c r="AD101" s="202"/>
      <c r="AE101" s="228"/>
      <c r="AF101" s="240"/>
    </row>
    <row r="102" spans="1:32">
      <c r="A102" s="345" t="s">
        <v>216</v>
      </c>
      <c r="B102" s="346" t="s">
        <v>314</v>
      </c>
      <c r="C102" s="345">
        <v>134608</v>
      </c>
      <c r="D102" s="345">
        <v>8</v>
      </c>
      <c r="E102" s="225">
        <f t="shared" si="6"/>
        <v>245331</v>
      </c>
      <c r="F102" s="229">
        <f t="shared" si="7"/>
        <v>270334</v>
      </c>
      <c r="G102" s="226">
        <v>185452</v>
      </c>
      <c r="H102" s="201">
        <v>199390</v>
      </c>
      <c r="I102" s="226">
        <v>16849</v>
      </c>
      <c r="J102" s="201">
        <v>16847</v>
      </c>
      <c r="K102" s="228">
        <v>32419</v>
      </c>
      <c r="L102" s="228">
        <v>5448</v>
      </c>
      <c r="M102" s="228">
        <v>5163</v>
      </c>
      <c r="N102" s="202">
        <v>40410</v>
      </c>
      <c r="O102" s="202">
        <v>5461</v>
      </c>
      <c r="P102" s="202">
        <v>8226</v>
      </c>
      <c r="Q102" s="228">
        <v>0</v>
      </c>
      <c r="R102" s="201">
        <v>0</v>
      </c>
      <c r="S102" s="225">
        <f t="shared" si="8"/>
        <v>0</v>
      </c>
      <c r="T102" s="229">
        <f t="shared" si="9"/>
        <v>0</v>
      </c>
      <c r="U102" s="226"/>
      <c r="V102" s="201"/>
      <c r="W102" s="226"/>
      <c r="X102" s="201"/>
      <c r="Y102" s="228"/>
      <c r="Z102" s="228"/>
      <c r="AA102" s="228"/>
      <c r="AB102" s="202"/>
      <c r="AC102" s="202"/>
      <c r="AD102" s="202"/>
      <c r="AE102" s="228"/>
      <c r="AF102" s="240"/>
    </row>
    <row r="103" spans="1:32">
      <c r="A103" s="345" t="s">
        <v>216</v>
      </c>
      <c r="B103" s="346" t="s">
        <v>317</v>
      </c>
      <c r="C103" s="345">
        <v>135391</v>
      </c>
      <c r="D103" s="345">
        <v>8</v>
      </c>
      <c r="E103" s="225">
        <f t="shared" si="6"/>
        <v>216781</v>
      </c>
      <c r="F103" s="229">
        <f t="shared" si="7"/>
        <v>241405</v>
      </c>
      <c r="G103" s="226">
        <v>191898</v>
      </c>
      <c r="H103" s="201">
        <v>210973</v>
      </c>
      <c r="I103" s="226">
        <v>6707</v>
      </c>
      <c r="J103" s="201">
        <v>7381</v>
      </c>
      <c r="K103" s="228">
        <v>13771</v>
      </c>
      <c r="L103" s="228">
        <v>1177</v>
      </c>
      <c r="M103" s="228">
        <v>3228</v>
      </c>
      <c r="N103" s="202">
        <v>17907</v>
      </c>
      <c r="O103" s="202">
        <v>1900</v>
      </c>
      <c r="P103" s="202">
        <v>3244</v>
      </c>
      <c r="Q103" s="228">
        <v>0</v>
      </c>
      <c r="R103" s="201">
        <v>0</v>
      </c>
      <c r="S103" s="225">
        <f t="shared" si="8"/>
        <v>0</v>
      </c>
      <c r="T103" s="229">
        <f t="shared" si="9"/>
        <v>0</v>
      </c>
      <c r="U103" s="226"/>
      <c r="V103" s="201"/>
      <c r="W103" s="226"/>
      <c r="X103" s="201"/>
      <c r="Y103" s="228"/>
      <c r="Z103" s="228"/>
      <c r="AA103" s="228"/>
      <c r="AB103" s="202"/>
      <c r="AC103" s="202"/>
      <c r="AD103" s="202"/>
      <c r="AE103" s="228"/>
      <c r="AF103" s="240"/>
    </row>
    <row r="104" spans="1:32">
      <c r="A104" s="345" t="s">
        <v>216</v>
      </c>
      <c r="B104" s="346" t="s">
        <v>320</v>
      </c>
      <c r="C104" s="345">
        <v>136358</v>
      </c>
      <c r="D104" s="345">
        <v>8</v>
      </c>
      <c r="E104" s="225">
        <f t="shared" si="6"/>
        <v>402837</v>
      </c>
      <c r="F104" s="229">
        <f t="shared" si="7"/>
        <v>451867</v>
      </c>
      <c r="G104" s="226">
        <v>323594</v>
      </c>
      <c r="H104" s="201">
        <v>362944</v>
      </c>
      <c r="I104" s="226">
        <v>12631</v>
      </c>
      <c r="J104" s="201">
        <v>12432</v>
      </c>
      <c r="K104" s="228">
        <v>29211</v>
      </c>
      <c r="L104" s="228">
        <v>2835</v>
      </c>
      <c r="M104" s="228">
        <v>31446</v>
      </c>
      <c r="N104" s="202">
        <v>38696</v>
      </c>
      <c r="O104" s="202">
        <v>2547</v>
      </c>
      <c r="P104" s="202">
        <v>35248</v>
      </c>
      <c r="Q104" s="228">
        <v>3120</v>
      </c>
      <c r="R104" s="201">
        <v>0</v>
      </c>
      <c r="S104" s="225">
        <f t="shared" si="8"/>
        <v>0</v>
      </c>
      <c r="T104" s="229">
        <f t="shared" si="9"/>
        <v>0</v>
      </c>
      <c r="U104" s="226"/>
      <c r="V104" s="347"/>
      <c r="W104" s="226"/>
      <c r="X104" s="348"/>
      <c r="Y104" s="228"/>
      <c r="Z104" s="228"/>
      <c r="AA104" s="228"/>
      <c r="AB104" s="348"/>
      <c r="AC104" s="348"/>
      <c r="AD104" s="347"/>
      <c r="AE104" s="228"/>
      <c r="AF104" s="240"/>
    </row>
    <row r="105" spans="1:32">
      <c r="A105" s="345" t="s">
        <v>216</v>
      </c>
      <c r="B105" s="253" t="s">
        <v>321</v>
      </c>
      <c r="C105" s="254">
        <v>136400</v>
      </c>
      <c r="D105" s="255">
        <v>8</v>
      </c>
      <c r="E105" s="225">
        <f t="shared" si="6"/>
        <v>147519</v>
      </c>
      <c r="F105" s="229">
        <f t="shared" si="7"/>
        <v>161425</v>
      </c>
      <c r="G105" s="226">
        <v>114321</v>
      </c>
      <c r="H105" s="201">
        <v>137268</v>
      </c>
      <c r="I105" s="226">
        <v>1966</v>
      </c>
      <c r="J105" s="201">
        <v>3696</v>
      </c>
      <c r="K105" s="228">
        <v>12186</v>
      </c>
      <c r="L105" s="228">
        <v>195</v>
      </c>
      <c r="M105" s="228">
        <v>18851</v>
      </c>
      <c r="N105" s="202">
        <v>17951</v>
      </c>
      <c r="O105" s="202">
        <v>0</v>
      </c>
      <c r="P105" s="202">
        <v>2510</v>
      </c>
      <c r="Q105" s="228">
        <v>0</v>
      </c>
      <c r="R105" s="201">
        <v>0</v>
      </c>
      <c r="S105" s="225">
        <f t="shared" si="8"/>
        <v>0</v>
      </c>
      <c r="T105" s="229">
        <f t="shared" si="9"/>
        <v>0</v>
      </c>
      <c r="U105" s="226"/>
      <c r="V105" s="349"/>
      <c r="W105" s="226"/>
      <c r="X105" s="201"/>
      <c r="Y105" s="228"/>
      <c r="Z105" s="228"/>
      <c r="AA105" s="228"/>
      <c r="AB105" s="201"/>
      <c r="AC105" s="201"/>
      <c r="AD105" s="349"/>
      <c r="AE105" s="228"/>
      <c r="AF105" s="240"/>
    </row>
    <row r="106" spans="1:32">
      <c r="A106" s="345" t="s">
        <v>216</v>
      </c>
      <c r="B106" s="346" t="s">
        <v>322</v>
      </c>
      <c r="C106" s="345">
        <v>136473</v>
      </c>
      <c r="D106" s="345">
        <v>8</v>
      </c>
      <c r="E106" s="225">
        <f t="shared" si="6"/>
        <v>212759</v>
      </c>
      <c r="F106" s="229">
        <f t="shared" si="7"/>
        <v>220439</v>
      </c>
      <c r="G106" s="226">
        <v>180129</v>
      </c>
      <c r="H106" s="201">
        <v>182831</v>
      </c>
      <c r="I106" s="226">
        <v>11727</v>
      </c>
      <c r="J106" s="201">
        <v>12816</v>
      </c>
      <c r="K106" s="228">
        <v>19675</v>
      </c>
      <c r="L106" s="228">
        <v>0</v>
      </c>
      <c r="M106" s="228">
        <v>1228</v>
      </c>
      <c r="N106" s="202">
        <v>23254</v>
      </c>
      <c r="O106" s="202">
        <v>0</v>
      </c>
      <c r="P106" s="202">
        <v>1538</v>
      </c>
      <c r="Q106" s="228">
        <v>0</v>
      </c>
      <c r="R106" s="349">
        <v>0</v>
      </c>
      <c r="S106" s="225">
        <f t="shared" si="8"/>
        <v>0</v>
      </c>
      <c r="T106" s="229">
        <f t="shared" si="9"/>
        <v>0</v>
      </c>
      <c r="U106" s="226"/>
      <c r="V106" s="349"/>
      <c r="W106" s="226"/>
      <c r="X106" s="201"/>
      <c r="Y106" s="228"/>
      <c r="Z106" s="228"/>
      <c r="AA106" s="228"/>
      <c r="AB106" s="201"/>
      <c r="AC106" s="201"/>
      <c r="AD106" s="349"/>
      <c r="AE106" s="228"/>
      <c r="AF106" s="240"/>
    </row>
    <row r="107" spans="1:32">
      <c r="A107" s="345" t="s">
        <v>216</v>
      </c>
      <c r="B107" s="346" t="s">
        <v>326</v>
      </c>
      <c r="C107" s="345">
        <v>137096</v>
      </c>
      <c r="D107" s="345">
        <v>8</v>
      </c>
      <c r="E107" s="225">
        <f t="shared" si="6"/>
        <v>333150</v>
      </c>
      <c r="F107" s="229">
        <f t="shared" si="7"/>
        <v>343718</v>
      </c>
      <c r="G107" s="226">
        <v>283066</v>
      </c>
      <c r="H107" s="201">
        <v>287526</v>
      </c>
      <c r="I107" s="226">
        <v>4415</v>
      </c>
      <c r="J107" s="201">
        <v>3272</v>
      </c>
      <c r="K107" s="228">
        <v>36728</v>
      </c>
      <c r="L107" s="228">
        <v>163</v>
      </c>
      <c r="M107" s="228">
        <v>8778</v>
      </c>
      <c r="N107" s="202">
        <v>42980</v>
      </c>
      <c r="O107" s="202">
        <v>111</v>
      </c>
      <c r="P107" s="202">
        <v>9829</v>
      </c>
      <c r="Q107" s="228">
        <v>0</v>
      </c>
      <c r="R107" s="201">
        <v>0</v>
      </c>
      <c r="S107" s="225">
        <f t="shared" si="8"/>
        <v>0</v>
      </c>
      <c r="T107" s="229">
        <f t="shared" si="9"/>
        <v>0</v>
      </c>
      <c r="U107" s="226"/>
      <c r="V107" s="349"/>
      <c r="W107" s="226"/>
      <c r="X107" s="201"/>
      <c r="Y107" s="228"/>
      <c r="Z107" s="228"/>
      <c r="AA107" s="228"/>
      <c r="AB107" s="201"/>
      <c r="AC107" s="201"/>
      <c r="AD107" s="349"/>
      <c r="AE107" s="228"/>
      <c r="AF107" s="240"/>
    </row>
    <row r="108" spans="1:32">
      <c r="A108" s="345" t="s">
        <v>216</v>
      </c>
      <c r="B108" s="346" t="s">
        <v>327</v>
      </c>
      <c r="C108" s="345">
        <v>137209</v>
      </c>
      <c r="D108" s="345">
        <v>8</v>
      </c>
      <c r="E108" s="225">
        <f t="shared" si="6"/>
        <v>240343</v>
      </c>
      <c r="F108" s="229">
        <f t="shared" si="7"/>
        <v>272182</v>
      </c>
      <c r="G108" s="226">
        <v>208586</v>
      </c>
      <c r="H108" s="201">
        <v>232635</v>
      </c>
      <c r="I108" s="226">
        <v>2878</v>
      </c>
      <c r="J108" s="201">
        <v>0</v>
      </c>
      <c r="K108" s="228">
        <v>26041</v>
      </c>
      <c r="L108" s="228">
        <v>0</v>
      </c>
      <c r="M108" s="228">
        <v>2838</v>
      </c>
      <c r="N108" s="202">
        <v>36631</v>
      </c>
      <c r="O108" s="202">
        <v>0</v>
      </c>
      <c r="P108" s="202">
        <v>2916</v>
      </c>
      <c r="Q108" s="228">
        <v>0</v>
      </c>
      <c r="R108" s="201">
        <v>0</v>
      </c>
      <c r="S108" s="225">
        <f t="shared" si="8"/>
        <v>0</v>
      </c>
      <c r="T108" s="229">
        <f t="shared" si="9"/>
        <v>0</v>
      </c>
      <c r="U108" s="226"/>
      <c r="V108" s="349"/>
      <c r="W108" s="226"/>
      <c r="X108" s="201"/>
      <c r="Y108" s="228"/>
      <c r="Z108" s="228"/>
      <c r="AA108" s="228"/>
      <c r="AB108" s="201"/>
      <c r="AC108" s="201"/>
      <c r="AD108" s="349"/>
      <c r="AE108" s="228"/>
      <c r="AF108" s="240"/>
    </row>
    <row r="109" spans="1:32">
      <c r="A109" s="345" t="s">
        <v>216</v>
      </c>
      <c r="B109" s="346" t="s">
        <v>329</v>
      </c>
      <c r="C109" s="345">
        <v>137759</v>
      </c>
      <c r="D109" s="350">
        <v>8</v>
      </c>
      <c r="E109" s="225">
        <f t="shared" si="6"/>
        <v>303871</v>
      </c>
      <c r="F109" s="229">
        <f t="shared" si="7"/>
        <v>308574</v>
      </c>
      <c r="G109" s="226">
        <v>269645</v>
      </c>
      <c r="H109" s="201">
        <v>274081</v>
      </c>
      <c r="I109" s="226">
        <v>5768</v>
      </c>
      <c r="J109" s="201">
        <v>4180</v>
      </c>
      <c r="K109" s="228">
        <v>26575</v>
      </c>
      <c r="L109" s="228">
        <v>0</v>
      </c>
      <c r="M109" s="228">
        <v>1883</v>
      </c>
      <c r="N109" s="202">
        <v>28735</v>
      </c>
      <c r="O109" s="202">
        <v>0</v>
      </c>
      <c r="P109" s="202">
        <v>1578</v>
      </c>
      <c r="Q109" s="228">
        <v>0</v>
      </c>
      <c r="R109" s="201">
        <v>0</v>
      </c>
      <c r="S109" s="225">
        <f t="shared" si="8"/>
        <v>0</v>
      </c>
      <c r="T109" s="229">
        <f t="shared" si="9"/>
        <v>0</v>
      </c>
      <c r="U109" s="226"/>
      <c r="V109" s="349"/>
      <c r="W109" s="226"/>
      <c r="X109" s="201"/>
      <c r="Y109" s="228"/>
      <c r="Z109" s="228"/>
      <c r="AA109" s="228"/>
      <c r="AB109" s="201"/>
      <c r="AC109" s="201"/>
      <c r="AD109" s="349"/>
      <c r="AE109" s="228"/>
      <c r="AF109" s="240"/>
    </row>
    <row r="110" spans="1:32">
      <c r="A110" s="345" t="s">
        <v>216</v>
      </c>
      <c r="B110" s="346" t="s">
        <v>330</v>
      </c>
      <c r="C110" s="345">
        <v>138187</v>
      </c>
      <c r="D110" s="345">
        <v>8</v>
      </c>
      <c r="E110" s="225">
        <f t="shared" si="6"/>
        <v>665306</v>
      </c>
      <c r="F110" s="229">
        <f t="shared" si="7"/>
        <v>737228</v>
      </c>
      <c r="G110" s="226">
        <v>563362</v>
      </c>
      <c r="H110" s="201">
        <v>605323</v>
      </c>
      <c r="I110" s="226">
        <v>60</v>
      </c>
      <c r="J110" s="201">
        <v>72</v>
      </c>
      <c r="K110" s="228">
        <v>84282</v>
      </c>
      <c r="L110" s="228">
        <v>0</v>
      </c>
      <c r="M110" s="228">
        <v>17602</v>
      </c>
      <c r="N110" s="202">
        <v>110038</v>
      </c>
      <c r="O110" s="202">
        <v>0</v>
      </c>
      <c r="P110" s="202">
        <v>21795</v>
      </c>
      <c r="Q110" s="228">
        <v>0</v>
      </c>
      <c r="R110" s="201">
        <v>0</v>
      </c>
      <c r="S110" s="225">
        <f t="shared" si="8"/>
        <v>0</v>
      </c>
      <c r="T110" s="229">
        <f t="shared" si="9"/>
        <v>0</v>
      </c>
      <c r="U110" s="226"/>
      <c r="V110" s="349"/>
      <c r="W110" s="226"/>
      <c r="X110" s="201"/>
      <c r="Y110" s="228"/>
      <c r="Z110" s="228"/>
      <c r="AA110" s="228"/>
      <c r="AB110" s="201"/>
      <c r="AC110" s="201"/>
      <c r="AD110" s="349"/>
      <c r="AE110" s="228"/>
      <c r="AF110" s="240"/>
    </row>
    <row r="111" spans="1:32">
      <c r="A111" s="345" t="s">
        <v>216</v>
      </c>
      <c r="B111" s="256" t="s">
        <v>307</v>
      </c>
      <c r="C111" s="345">
        <v>132851</v>
      </c>
      <c r="D111" s="345">
        <v>9</v>
      </c>
      <c r="E111" s="225">
        <f t="shared" si="6"/>
        <v>119694</v>
      </c>
      <c r="F111" s="229">
        <f t="shared" si="7"/>
        <v>134717</v>
      </c>
      <c r="G111" s="226">
        <v>102278</v>
      </c>
      <c r="H111" s="201">
        <v>112239</v>
      </c>
      <c r="I111" s="226">
        <v>0</v>
      </c>
      <c r="J111" s="201">
        <v>0</v>
      </c>
      <c r="K111" s="228">
        <v>13747</v>
      </c>
      <c r="L111" s="228">
        <v>0</v>
      </c>
      <c r="M111" s="228">
        <v>3669</v>
      </c>
      <c r="N111" s="202">
        <v>17573</v>
      </c>
      <c r="O111" s="202">
        <v>0</v>
      </c>
      <c r="P111" s="202">
        <v>4905</v>
      </c>
      <c r="Q111" s="228">
        <v>0</v>
      </c>
      <c r="R111" s="201">
        <v>0</v>
      </c>
      <c r="S111" s="225">
        <f t="shared" si="8"/>
        <v>0</v>
      </c>
      <c r="T111" s="229">
        <f t="shared" si="9"/>
        <v>0</v>
      </c>
      <c r="U111" s="226"/>
      <c r="V111" s="349"/>
      <c r="W111" s="226"/>
      <c r="X111" s="201"/>
      <c r="Y111" s="228"/>
      <c r="Z111" s="228"/>
      <c r="AA111" s="228"/>
      <c r="AB111" s="201"/>
      <c r="AC111" s="201"/>
      <c r="AD111" s="349"/>
      <c r="AE111" s="228"/>
      <c r="AF111" s="240"/>
    </row>
    <row r="112" spans="1:32">
      <c r="A112" s="345" t="s">
        <v>216</v>
      </c>
      <c r="B112" s="346" t="s">
        <v>312</v>
      </c>
      <c r="C112" s="345">
        <v>134343</v>
      </c>
      <c r="D112" s="345">
        <v>9</v>
      </c>
      <c r="E112" s="225">
        <f t="shared" si="6"/>
        <v>118675</v>
      </c>
      <c r="F112" s="229">
        <f t="shared" si="7"/>
        <v>124256</v>
      </c>
      <c r="G112" s="226">
        <v>87595</v>
      </c>
      <c r="H112" s="201">
        <v>86066</v>
      </c>
      <c r="I112" s="226">
        <v>10530</v>
      </c>
      <c r="J112" s="201">
        <v>13562</v>
      </c>
      <c r="K112" s="228">
        <v>12436</v>
      </c>
      <c r="L112" s="228">
        <v>1723</v>
      </c>
      <c r="M112" s="228">
        <v>6390</v>
      </c>
      <c r="N112" s="202">
        <v>15893</v>
      </c>
      <c r="O112" s="202">
        <v>1911</v>
      </c>
      <c r="P112" s="202">
        <v>6824</v>
      </c>
      <c r="Q112" s="228">
        <v>1</v>
      </c>
      <c r="R112" s="201">
        <v>0</v>
      </c>
      <c r="S112" s="225">
        <f t="shared" si="8"/>
        <v>0</v>
      </c>
      <c r="T112" s="229">
        <f t="shared" si="9"/>
        <v>0</v>
      </c>
      <c r="U112" s="226"/>
      <c r="V112" s="349"/>
      <c r="W112" s="226"/>
      <c r="X112" s="201"/>
      <c r="Y112" s="228"/>
      <c r="Z112" s="228"/>
      <c r="AA112" s="228"/>
      <c r="AB112" s="201"/>
      <c r="AC112" s="201"/>
      <c r="AD112" s="349"/>
      <c r="AE112" s="228"/>
      <c r="AF112" s="240"/>
    </row>
    <row r="113" spans="1:32">
      <c r="A113" s="345" t="s">
        <v>216</v>
      </c>
      <c r="B113" s="346" t="s">
        <v>315</v>
      </c>
      <c r="C113" s="345">
        <v>135160</v>
      </c>
      <c r="D113" s="345">
        <v>9</v>
      </c>
      <c r="E113" s="225">
        <f t="shared" si="6"/>
        <v>53433</v>
      </c>
      <c r="F113" s="229">
        <f t="shared" si="7"/>
        <v>54399</v>
      </c>
      <c r="G113" s="226">
        <v>33642</v>
      </c>
      <c r="H113" s="201">
        <v>33279</v>
      </c>
      <c r="I113" s="226">
        <v>1604</v>
      </c>
      <c r="J113" s="201">
        <v>213</v>
      </c>
      <c r="K113" s="228">
        <v>13681</v>
      </c>
      <c r="L113" s="228">
        <v>4155</v>
      </c>
      <c r="M113" s="228">
        <v>351</v>
      </c>
      <c r="N113" s="202">
        <v>15600</v>
      </c>
      <c r="O113" s="202">
        <v>5307</v>
      </c>
      <c r="P113" s="202">
        <v>0</v>
      </c>
      <c r="Q113" s="228">
        <v>0</v>
      </c>
      <c r="R113" s="201">
        <v>0</v>
      </c>
      <c r="S113" s="225">
        <f t="shared" si="8"/>
        <v>0</v>
      </c>
      <c r="T113" s="229">
        <f t="shared" si="9"/>
        <v>0</v>
      </c>
      <c r="U113" s="226"/>
      <c r="V113" s="349"/>
      <c r="W113" s="226"/>
      <c r="X113" s="201"/>
      <c r="Y113" s="228"/>
      <c r="Z113" s="228"/>
      <c r="AA113" s="228"/>
      <c r="AB113" s="201"/>
      <c r="AC113" s="201"/>
      <c r="AD113" s="349"/>
      <c r="AE113" s="228"/>
      <c r="AF113" s="240"/>
    </row>
    <row r="114" spans="1:32" s="203" customFormat="1">
      <c r="A114" s="345" t="s">
        <v>216</v>
      </c>
      <c r="B114" s="346" t="s">
        <v>316</v>
      </c>
      <c r="C114" s="345">
        <v>135188</v>
      </c>
      <c r="D114" s="345">
        <v>9</v>
      </c>
      <c r="E114" s="225">
        <f t="shared" si="6"/>
        <v>73224</v>
      </c>
      <c r="F114" s="229">
        <f t="shared" si="7"/>
        <v>79372</v>
      </c>
      <c r="G114" s="226">
        <v>63692</v>
      </c>
      <c r="H114" s="201">
        <v>66821</v>
      </c>
      <c r="I114" s="226">
        <v>1305</v>
      </c>
      <c r="J114" s="201">
        <v>428</v>
      </c>
      <c r="K114" s="228">
        <v>2338</v>
      </c>
      <c r="L114" s="228">
        <v>0</v>
      </c>
      <c r="M114" s="228">
        <v>5652</v>
      </c>
      <c r="N114" s="202">
        <v>3660</v>
      </c>
      <c r="O114" s="202">
        <v>0</v>
      </c>
      <c r="P114" s="202">
        <v>7630</v>
      </c>
      <c r="Q114" s="228">
        <v>237</v>
      </c>
      <c r="R114" s="201">
        <v>833</v>
      </c>
      <c r="S114" s="225">
        <f t="shared" si="8"/>
        <v>0</v>
      </c>
      <c r="T114" s="229">
        <f t="shared" si="9"/>
        <v>0</v>
      </c>
      <c r="U114" s="226"/>
      <c r="V114" s="201"/>
      <c r="W114" s="226"/>
      <c r="X114" s="201"/>
      <c r="Y114" s="228"/>
      <c r="Z114" s="228"/>
      <c r="AA114" s="228"/>
      <c r="AB114" s="202"/>
      <c r="AC114" s="202"/>
      <c r="AD114" s="202"/>
      <c r="AE114" s="228"/>
      <c r="AF114" s="240"/>
    </row>
    <row r="115" spans="1:32" s="203" customFormat="1">
      <c r="A115" s="345" t="s">
        <v>216</v>
      </c>
      <c r="B115" s="256" t="s">
        <v>323</v>
      </c>
      <c r="C115" s="345">
        <v>136516</v>
      </c>
      <c r="D115" s="345">
        <v>9</v>
      </c>
      <c r="E115" s="225">
        <f t="shared" si="6"/>
        <v>143350</v>
      </c>
      <c r="F115" s="229">
        <f t="shared" si="7"/>
        <v>162446</v>
      </c>
      <c r="G115" s="226">
        <v>129387</v>
      </c>
      <c r="H115" s="201">
        <v>140828</v>
      </c>
      <c r="I115" s="226">
        <v>2148</v>
      </c>
      <c r="J115" s="201">
        <v>3565</v>
      </c>
      <c r="K115" s="228">
        <v>10658</v>
      </c>
      <c r="L115" s="228">
        <v>120</v>
      </c>
      <c r="M115" s="228">
        <v>1037</v>
      </c>
      <c r="N115" s="202">
        <v>15080</v>
      </c>
      <c r="O115" s="202">
        <v>0</v>
      </c>
      <c r="P115" s="202">
        <v>2973</v>
      </c>
      <c r="Q115" s="228">
        <v>0</v>
      </c>
      <c r="R115" s="201">
        <v>0</v>
      </c>
      <c r="S115" s="225">
        <f t="shared" si="8"/>
        <v>0</v>
      </c>
      <c r="T115" s="229">
        <f t="shared" si="9"/>
        <v>0</v>
      </c>
      <c r="U115" s="226"/>
      <c r="V115" s="201"/>
      <c r="W115" s="226"/>
      <c r="X115" s="201"/>
      <c r="Y115" s="228"/>
      <c r="Z115" s="228"/>
      <c r="AA115" s="228"/>
      <c r="AB115" s="202"/>
      <c r="AC115" s="202"/>
      <c r="AD115" s="202"/>
      <c r="AE115" s="228"/>
      <c r="AF115" s="240"/>
    </row>
    <row r="116" spans="1:32" s="203" customFormat="1">
      <c r="A116" s="345" t="s">
        <v>216</v>
      </c>
      <c r="B116" s="346" t="s">
        <v>328</v>
      </c>
      <c r="C116" s="345">
        <v>137315</v>
      </c>
      <c r="D116" s="345">
        <v>9</v>
      </c>
      <c r="E116" s="225">
        <f t="shared" si="6"/>
        <v>38695</v>
      </c>
      <c r="F116" s="229">
        <f t="shared" si="7"/>
        <v>42583</v>
      </c>
      <c r="G116" s="226">
        <v>24549</v>
      </c>
      <c r="H116" s="201">
        <v>25853</v>
      </c>
      <c r="I116" s="226">
        <v>8897</v>
      </c>
      <c r="J116" s="201">
        <v>10989</v>
      </c>
      <c r="K116" s="228">
        <v>2200</v>
      </c>
      <c r="L116" s="228">
        <v>1152</v>
      </c>
      <c r="M116" s="228">
        <v>1897</v>
      </c>
      <c r="N116" s="202">
        <v>3254</v>
      </c>
      <c r="O116" s="202">
        <v>1212</v>
      </c>
      <c r="P116" s="202">
        <v>1275</v>
      </c>
      <c r="Q116" s="228">
        <v>0</v>
      </c>
      <c r="R116" s="201">
        <v>0</v>
      </c>
      <c r="S116" s="225">
        <f t="shared" si="8"/>
        <v>0</v>
      </c>
      <c r="T116" s="229">
        <f t="shared" si="9"/>
        <v>0</v>
      </c>
      <c r="U116" s="226"/>
      <c r="V116" s="201"/>
      <c r="W116" s="226"/>
      <c r="X116" s="201"/>
      <c r="Y116" s="228"/>
      <c r="Z116" s="228"/>
      <c r="AA116" s="228"/>
      <c r="AB116" s="202"/>
      <c r="AC116" s="202"/>
      <c r="AD116" s="202"/>
      <c r="AE116" s="228"/>
      <c r="AF116" s="240"/>
    </row>
    <row r="117" spans="1:32" s="203" customFormat="1">
      <c r="A117" s="345" t="s">
        <v>216</v>
      </c>
      <c r="B117" s="346" t="s">
        <v>324</v>
      </c>
      <c r="C117" s="345">
        <v>137281</v>
      </c>
      <c r="D117" s="345">
        <v>9</v>
      </c>
      <c r="E117" s="225">
        <f t="shared" si="6"/>
        <v>100301</v>
      </c>
      <c r="F117" s="229">
        <f t="shared" si="7"/>
        <v>111344</v>
      </c>
      <c r="G117" s="226">
        <v>74312</v>
      </c>
      <c r="H117" s="201">
        <v>83157</v>
      </c>
      <c r="I117" s="226">
        <v>6216</v>
      </c>
      <c r="J117" s="201">
        <v>5018</v>
      </c>
      <c r="K117" s="228">
        <v>19109</v>
      </c>
      <c r="L117" s="228">
        <v>0</v>
      </c>
      <c r="M117" s="228">
        <v>664</v>
      </c>
      <c r="N117" s="202">
        <v>22481</v>
      </c>
      <c r="O117" s="202">
        <v>0</v>
      </c>
      <c r="P117" s="202">
        <v>688</v>
      </c>
      <c r="Q117" s="228">
        <v>0</v>
      </c>
      <c r="R117" s="201">
        <v>0</v>
      </c>
      <c r="S117" s="225">
        <f t="shared" si="8"/>
        <v>0</v>
      </c>
      <c r="T117" s="229">
        <f t="shared" si="9"/>
        <v>0</v>
      </c>
      <c r="U117" s="226"/>
      <c r="V117" s="201"/>
      <c r="W117" s="226"/>
      <c r="X117" s="201"/>
      <c r="Y117" s="228"/>
      <c r="Z117" s="228"/>
      <c r="AA117" s="228"/>
      <c r="AB117" s="202"/>
      <c r="AC117" s="202"/>
      <c r="AD117" s="202"/>
      <c r="AE117" s="228"/>
      <c r="AF117" s="240"/>
    </row>
    <row r="118" spans="1:32" s="203" customFormat="1">
      <c r="A118" s="345" t="s">
        <v>216</v>
      </c>
      <c r="B118" s="346" t="s">
        <v>311</v>
      </c>
      <c r="C118" s="345">
        <v>133960</v>
      </c>
      <c r="D118" s="345">
        <v>10</v>
      </c>
      <c r="E118" s="225">
        <f t="shared" si="6"/>
        <v>20614</v>
      </c>
      <c r="F118" s="229">
        <f t="shared" si="7"/>
        <v>24528</v>
      </c>
      <c r="G118" s="226">
        <v>14898</v>
      </c>
      <c r="H118" s="201">
        <v>15749</v>
      </c>
      <c r="I118" s="226">
        <v>2034</v>
      </c>
      <c r="J118" s="201">
        <v>2296</v>
      </c>
      <c r="K118" s="228">
        <v>1018</v>
      </c>
      <c r="L118" s="228">
        <v>1443</v>
      </c>
      <c r="M118" s="228">
        <v>1137</v>
      </c>
      <c r="N118" s="202">
        <v>2134</v>
      </c>
      <c r="O118" s="202">
        <v>1911</v>
      </c>
      <c r="P118" s="202">
        <v>1895</v>
      </c>
      <c r="Q118" s="228">
        <v>84</v>
      </c>
      <c r="R118" s="201">
        <v>543</v>
      </c>
      <c r="S118" s="225">
        <f t="shared" si="8"/>
        <v>0</v>
      </c>
      <c r="T118" s="229">
        <f t="shared" si="9"/>
        <v>0</v>
      </c>
      <c r="U118" s="226"/>
      <c r="V118" s="201"/>
      <c r="W118" s="226"/>
      <c r="X118" s="201"/>
      <c r="Y118" s="228"/>
      <c r="Z118" s="228"/>
      <c r="AA118" s="228"/>
      <c r="AB118" s="202"/>
      <c r="AC118" s="202"/>
      <c r="AD118" s="202"/>
      <c r="AE118" s="228"/>
      <c r="AF118" s="240"/>
    </row>
    <row r="119" spans="1:32" s="203" customFormat="1">
      <c r="A119" s="345" t="s">
        <v>216</v>
      </c>
      <c r="B119" s="346" t="s">
        <v>319</v>
      </c>
      <c r="C119" s="345">
        <v>136145</v>
      </c>
      <c r="D119" s="345">
        <v>10</v>
      </c>
      <c r="E119" s="225">
        <f t="shared" si="6"/>
        <v>23630</v>
      </c>
      <c r="F119" s="229">
        <f t="shared" si="7"/>
        <v>21966</v>
      </c>
      <c r="G119" s="226">
        <v>16534</v>
      </c>
      <c r="H119" s="201">
        <v>15055</v>
      </c>
      <c r="I119" s="226">
        <v>2416</v>
      </c>
      <c r="J119" s="201">
        <v>1270</v>
      </c>
      <c r="K119" s="228">
        <v>4103</v>
      </c>
      <c r="L119" s="228">
        <v>0</v>
      </c>
      <c r="M119" s="228">
        <v>574</v>
      </c>
      <c r="N119" s="202">
        <v>4533</v>
      </c>
      <c r="O119" s="202">
        <v>0</v>
      </c>
      <c r="P119" s="202">
        <v>1108</v>
      </c>
      <c r="Q119" s="228">
        <v>3</v>
      </c>
      <c r="R119" s="201">
        <v>0</v>
      </c>
      <c r="S119" s="225">
        <f t="shared" si="8"/>
        <v>0</v>
      </c>
      <c r="T119" s="229">
        <f t="shared" si="9"/>
        <v>0</v>
      </c>
      <c r="U119" s="226"/>
      <c r="V119" s="201"/>
      <c r="W119" s="226"/>
      <c r="X119" s="201"/>
      <c r="Y119" s="228"/>
      <c r="Z119" s="228"/>
      <c r="AA119" s="228"/>
      <c r="AB119" s="202"/>
      <c r="AC119" s="202"/>
      <c r="AD119" s="202"/>
      <c r="AE119" s="228"/>
      <c r="AF119" s="240"/>
    </row>
    <row r="120" spans="1:32" s="203" customFormat="1">
      <c r="A120" s="235" t="s">
        <v>217</v>
      </c>
      <c r="B120" s="257" t="s">
        <v>375</v>
      </c>
      <c r="C120" s="235">
        <v>139940</v>
      </c>
      <c r="D120" s="238">
        <v>1</v>
      </c>
      <c r="E120" s="225">
        <f t="shared" si="6"/>
        <v>543523.5</v>
      </c>
      <c r="F120" s="229">
        <f t="shared" si="7"/>
        <v>567915.5</v>
      </c>
      <c r="G120" s="226">
        <v>538452.5</v>
      </c>
      <c r="H120" s="201">
        <v>561829.5</v>
      </c>
      <c r="I120" s="226">
        <v>5071</v>
      </c>
      <c r="J120" s="201">
        <v>5771</v>
      </c>
      <c r="K120" s="228"/>
      <c r="L120" s="228"/>
      <c r="M120" s="228"/>
      <c r="N120" s="202">
        <v>315</v>
      </c>
      <c r="O120" s="202"/>
      <c r="P120" s="202"/>
      <c r="Q120" s="228"/>
      <c r="R120" s="201"/>
      <c r="S120" s="225">
        <f t="shared" si="8"/>
        <v>191531</v>
      </c>
      <c r="T120" s="229">
        <f t="shared" si="9"/>
        <v>199366.5</v>
      </c>
      <c r="U120" s="226">
        <v>176396</v>
      </c>
      <c r="V120" s="201">
        <v>182212</v>
      </c>
      <c r="W120" s="226">
        <v>15096</v>
      </c>
      <c r="X120" s="201">
        <v>16674.5</v>
      </c>
      <c r="Y120" s="228">
        <v>39</v>
      </c>
      <c r="Z120" s="228"/>
      <c r="AA120" s="228"/>
      <c r="AB120" s="202">
        <v>480</v>
      </c>
      <c r="AC120" s="202"/>
      <c r="AD120" s="202"/>
      <c r="AE120" s="228"/>
      <c r="AF120" s="240"/>
    </row>
    <row r="121" spans="1:32" s="203" customFormat="1">
      <c r="A121" s="235" t="s">
        <v>217</v>
      </c>
      <c r="B121" s="257" t="s">
        <v>376</v>
      </c>
      <c r="C121" s="235">
        <v>139959</v>
      </c>
      <c r="D121" s="235">
        <v>1</v>
      </c>
      <c r="E121" s="225">
        <f t="shared" si="6"/>
        <v>729983.2</v>
      </c>
      <c r="F121" s="229">
        <f t="shared" si="7"/>
        <v>736785.3</v>
      </c>
      <c r="G121" s="226">
        <v>701164.2</v>
      </c>
      <c r="H121" s="201">
        <v>714466.3</v>
      </c>
      <c r="I121" s="226">
        <v>16847</v>
      </c>
      <c r="J121" s="201">
        <v>15674</v>
      </c>
      <c r="K121" s="228">
        <v>9645</v>
      </c>
      <c r="L121" s="228"/>
      <c r="M121" s="228">
        <v>93</v>
      </c>
      <c r="N121" s="523">
        <v>4745</v>
      </c>
      <c r="O121" s="523">
        <v>9</v>
      </c>
      <c r="P121" s="523">
        <v>1507</v>
      </c>
      <c r="Q121" s="228">
        <v>2234</v>
      </c>
      <c r="R121" s="522">
        <v>384</v>
      </c>
      <c r="S121" s="225">
        <f t="shared" si="8"/>
        <v>225552.1</v>
      </c>
      <c r="T121" s="229">
        <f t="shared" si="9"/>
        <v>233833.9</v>
      </c>
      <c r="U121" s="226">
        <v>200926.1</v>
      </c>
      <c r="V121" s="201">
        <v>215341.4</v>
      </c>
      <c r="W121" s="226">
        <v>12547</v>
      </c>
      <c r="X121" s="201">
        <v>12209.5</v>
      </c>
      <c r="Y121" s="228">
        <v>11547</v>
      </c>
      <c r="Z121" s="228">
        <f>200+332</f>
        <v>532</v>
      </c>
      <c r="AA121" s="228"/>
      <c r="AB121" s="523">
        <v>6215</v>
      </c>
      <c r="AC121" s="202"/>
      <c r="AD121" s="202">
        <v>68</v>
      </c>
      <c r="AE121" s="228"/>
      <c r="AF121" s="240"/>
    </row>
    <row r="122" spans="1:32" s="203" customFormat="1">
      <c r="A122" s="235" t="s">
        <v>217</v>
      </c>
      <c r="B122" s="257" t="s">
        <v>377</v>
      </c>
      <c r="C122" s="235">
        <v>139755</v>
      </c>
      <c r="D122" s="235">
        <v>2</v>
      </c>
      <c r="E122" s="225">
        <f t="shared" si="6"/>
        <v>377828.5</v>
      </c>
      <c r="F122" s="229">
        <f t="shared" si="7"/>
        <v>384214</v>
      </c>
      <c r="G122" s="226">
        <v>363711.5</v>
      </c>
      <c r="H122" s="201">
        <v>370125</v>
      </c>
      <c r="I122" s="226">
        <v>7684</v>
      </c>
      <c r="J122" s="201">
        <v>8914</v>
      </c>
      <c r="K122" s="228">
        <v>4122</v>
      </c>
      <c r="L122" s="228">
        <f>871+1440</f>
        <v>2311</v>
      </c>
      <c r="M122" s="228"/>
      <c r="N122" s="202">
        <v>3047</v>
      </c>
      <c r="O122" s="202">
        <f>831+1159</f>
        <v>1990</v>
      </c>
      <c r="P122" s="202">
        <v>138</v>
      </c>
      <c r="Q122" s="228"/>
      <c r="R122" s="201"/>
      <c r="S122" s="225">
        <f t="shared" si="8"/>
        <v>209401</v>
      </c>
      <c r="T122" s="229">
        <f t="shared" si="9"/>
        <v>217693</v>
      </c>
      <c r="U122" s="226">
        <v>200744.5</v>
      </c>
      <c r="V122" s="201">
        <v>208970</v>
      </c>
      <c r="W122" s="226">
        <v>3903</v>
      </c>
      <c r="X122" s="201">
        <v>5117</v>
      </c>
      <c r="Y122" s="228">
        <v>4719.5</v>
      </c>
      <c r="Z122" s="228">
        <v>34</v>
      </c>
      <c r="AA122" s="228"/>
      <c r="AB122" s="202">
        <v>2682</v>
      </c>
      <c r="AC122" s="202">
        <f>801+90</f>
        <v>891</v>
      </c>
      <c r="AD122" s="202">
        <v>33</v>
      </c>
      <c r="AE122" s="228"/>
      <c r="AF122" s="240"/>
    </row>
    <row r="123" spans="1:32" s="203" customFormat="1">
      <c r="A123" s="235" t="s">
        <v>217</v>
      </c>
      <c r="B123" s="257" t="s">
        <v>378</v>
      </c>
      <c r="C123" s="235">
        <v>139931</v>
      </c>
      <c r="D123" s="235">
        <v>3</v>
      </c>
      <c r="E123" s="225">
        <f t="shared" si="6"/>
        <v>432457</v>
      </c>
      <c r="F123" s="229">
        <f t="shared" si="7"/>
        <v>445434</v>
      </c>
      <c r="G123" s="226">
        <v>419709</v>
      </c>
      <c r="H123" s="201">
        <v>427485</v>
      </c>
      <c r="I123" s="226">
        <v>3045</v>
      </c>
      <c r="J123" s="201">
        <v>3071</v>
      </c>
      <c r="K123" s="228">
        <v>8021</v>
      </c>
      <c r="L123" s="228">
        <f>984+693</f>
        <v>1677</v>
      </c>
      <c r="M123" s="228">
        <v>5</v>
      </c>
      <c r="N123" s="202">
        <v>13674</v>
      </c>
      <c r="O123" s="202">
        <f>603+480</f>
        <v>1083</v>
      </c>
      <c r="P123" s="202">
        <v>15</v>
      </c>
      <c r="Q123" s="228"/>
      <c r="R123" s="201">
        <v>106</v>
      </c>
      <c r="S123" s="225">
        <f t="shared" si="8"/>
        <v>32139</v>
      </c>
      <c r="T123" s="229">
        <f t="shared" si="9"/>
        <v>35375</v>
      </c>
      <c r="U123" s="226">
        <v>17195</v>
      </c>
      <c r="V123" s="201">
        <v>17025</v>
      </c>
      <c r="W123" s="226">
        <v>3124</v>
      </c>
      <c r="X123" s="201">
        <v>2220</v>
      </c>
      <c r="Y123" s="228">
        <v>10845</v>
      </c>
      <c r="Z123" s="228">
        <f>495+351</f>
        <v>846</v>
      </c>
      <c r="AA123" s="228">
        <v>57</v>
      </c>
      <c r="AB123" s="202">
        <v>15626</v>
      </c>
      <c r="AC123" s="202">
        <f>246+150</f>
        <v>396</v>
      </c>
      <c r="AD123" s="202">
        <v>96</v>
      </c>
      <c r="AE123" s="228">
        <v>72</v>
      </c>
      <c r="AF123" s="240">
        <v>12</v>
      </c>
    </row>
    <row r="124" spans="1:32" s="203" customFormat="1">
      <c r="A124" s="235" t="s">
        <v>217</v>
      </c>
      <c r="B124" s="257" t="s">
        <v>379</v>
      </c>
      <c r="C124" s="235">
        <v>141334</v>
      </c>
      <c r="D124" s="238">
        <v>3</v>
      </c>
      <c r="E124" s="225">
        <f t="shared" si="6"/>
        <v>240254</v>
      </c>
      <c r="F124" s="229">
        <f t="shared" si="7"/>
        <v>256495</v>
      </c>
      <c r="G124" s="226">
        <v>217134</v>
      </c>
      <c r="H124" s="201">
        <v>223194</v>
      </c>
      <c r="I124" s="226">
        <v>7217</v>
      </c>
      <c r="J124" s="201">
        <v>8440</v>
      </c>
      <c r="K124" s="228">
        <v>15903</v>
      </c>
      <c r="L124" s="228"/>
      <c r="M124" s="228"/>
      <c r="N124" s="202">
        <v>24861</v>
      </c>
      <c r="O124" s="202"/>
      <c r="P124" s="202"/>
      <c r="Q124" s="228"/>
      <c r="R124" s="201"/>
      <c r="S124" s="225">
        <f t="shared" si="8"/>
        <v>25830</v>
      </c>
      <c r="T124" s="229">
        <f t="shared" si="9"/>
        <v>31518</v>
      </c>
      <c r="U124" s="226">
        <v>14158</v>
      </c>
      <c r="V124" s="201">
        <v>13897</v>
      </c>
      <c r="W124" s="226">
        <v>3885</v>
      </c>
      <c r="X124" s="201">
        <v>4648</v>
      </c>
      <c r="Y124" s="228">
        <v>7787</v>
      </c>
      <c r="Z124" s="228"/>
      <c r="AA124" s="228"/>
      <c r="AB124" s="202">
        <v>12973</v>
      </c>
      <c r="AC124" s="202"/>
      <c r="AD124" s="202"/>
      <c r="AE124" s="228"/>
      <c r="AF124" s="240"/>
    </row>
    <row r="125" spans="1:32" s="203" customFormat="1">
      <c r="A125" s="235" t="s">
        <v>217</v>
      </c>
      <c r="B125" s="257" t="s">
        <v>380</v>
      </c>
      <c r="C125" s="235">
        <v>141264</v>
      </c>
      <c r="D125" s="235">
        <v>3</v>
      </c>
      <c r="E125" s="225">
        <f t="shared" si="6"/>
        <v>268832</v>
      </c>
      <c r="F125" s="229">
        <f t="shared" si="7"/>
        <v>272192</v>
      </c>
      <c r="G125" s="226">
        <v>256015</v>
      </c>
      <c r="H125" s="201">
        <v>257989</v>
      </c>
      <c r="I125" s="226">
        <v>6450</v>
      </c>
      <c r="J125" s="201">
        <v>5730</v>
      </c>
      <c r="K125" s="228">
        <v>6367</v>
      </c>
      <c r="L125" s="228"/>
      <c r="M125" s="228"/>
      <c r="N125" s="202">
        <v>8389</v>
      </c>
      <c r="O125" s="202">
        <v>84</v>
      </c>
      <c r="P125" s="202"/>
      <c r="Q125" s="228"/>
      <c r="R125" s="201"/>
      <c r="S125" s="225">
        <f t="shared" si="8"/>
        <v>26254</v>
      </c>
      <c r="T125" s="229">
        <f t="shared" si="9"/>
        <v>30739</v>
      </c>
      <c r="U125" s="226">
        <v>12952</v>
      </c>
      <c r="V125" s="201">
        <v>12829</v>
      </c>
      <c r="W125" s="226">
        <v>4585</v>
      </c>
      <c r="X125" s="201">
        <v>4601</v>
      </c>
      <c r="Y125" s="228">
        <v>8717</v>
      </c>
      <c r="Z125" s="228"/>
      <c r="AA125" s="228"/>
      <c r="AB125" s="202">
        <v>13288</v>
      </c>
      <c r="AC125" s="202">
        <v>21</v>
      </c>
      <c r="AD125" s="202"/>
      <c r="AE125" s="228"/>
      <c r="AF125" s="240"/>
    </row>
    <row r="126" spans="1:32" s="203" customFormat="1">
      <c r="A126" s="235" t="s">
        <v>217</v>
      </c>
      <c r="B126" s="257" t="s">
        <v>381</v>
      </c>
      <c r="C126" s="235">
        <v>138716</v>
      </c>
      <c r="D126" s="235">
        <v>4</v>
      </c>
      <c r="E126" s="225">
        <f t="shared" si="6"/>
        <v>104356</v>
      </c>
      <c r="F126" s="229">
        <f t="shared" si="7"/>
        <v>106419</v>
      </c>
      <c r="G126" s="226">
        <v>102468</v>
      </c>
      <c r="H126" s="201">
        <v>101815</v>
      </c>
      <c r="I126" s="226">
        <v>1219</v>
      </c>
      <c r="J126" s="201">
        <v>4505</v>
      </c>
      <c r="K126" s="228">
        <v>669</v>
      </c>
      <c r="L126" s="228"/>
      <c r="M126" s="228"/>
      <c r="N126" s="202">
        <v>99</v>
      </c>
      <c r="O126" s="202"/>
      <c r="P126" s="202"/>
      <c r="Q126" s="228"/>
      <c r="R126" s="201"/>
      <c r="S126" s="225">
        <f t="shared" si="8"/>
        <v>6948</v>
      </c>
      <c r="T126" s="229">
        <f t="shared" si="9"/>
        <v>6658</v>
      </c>
      <c r="U126" s="226">
        <v>6397</v>
      </c>
      <c r="V126" s="201">
        <v>6491</v>
      </c>
      <c r="W126" s="226">
        <v>27</v>
      </c>
      <c r="X126" s="201">
        <v>90</v>
      </c>
      <c r="Y126" s="228">
        <v>524</v>
      </c>
      <c r="Z126" s="228"/>
      <c r="AA126" s="228"/>
      <c r="AB126" s="202">
        <v>77</v>
      </c>
      <c r="AC126" s="202"/>
      <c r="AD126" s="202"/>
      <c r="AE126" s="228"/>
      <c r="AF126" s="240"/>
    </row>
    <row r="127" spans="1:32" s="203" customFormat="1">
      <c r="A127" s="235" t="s">
        <v>217</v>
      </c>
      <c r="B127" s="257" t="s">
        <v>382</v>
      </c>
      <c r="C127" s="235">
        <v>138789</v>
      </c>
      <c r="D127" s="235">
        <v>4</v>
      </c>
      <c r="E127" s="225">
        <f t="shared" si="6"/>
        <v>150622.96</v>
      </c>
      <c r="F127" s="229">
        <f t="shared" si="7"/>
        <v>149833.88</v>
      </c>
      <c r="G127" s="226">
        <v>132055.96</v>
      </c>
      <c r="H127" s="201">
        <v>135866.88</v>
      </c>
      <c r="I127" s="226">
        <v>11326</v>
      </c>
      <c r="J127" s="201">
        <v>10968</v>
      </c>
      <c r="K127" s="228">
        <v>7241</v>
      </c>
      <c r="L127" s="228"/>
      <c r="M127" s="228"/>
      <c r="N127" s="202">
        <v>2999</v>
      </c>
      <c r="O127" s="202"/>
      <c r="P127" s="202"/>
      <c r="Q127" s="228"/>
      <c r="R127" s="201"/>
      <c r="S127" s="225">
        <f t="shared" si="8"/>
        <v>11666</v>
      </c>
      <c r="T127" s="229">
        <f t="shared" si="9"/>
        <v>10904</v>
      </c>
      <c r="U127" s="226">
        <v>8507</v>
      </c>
      <c r="V127" s="201">
        <v>8924</v>
      </c>
      <c r="W127" s="226">
        <v>279</v>
      </c>
      <c r="X127" s="201">
        <v>911</v>
      </c>
      <c r="Y127" s="228">
        <v>2880</v>
      </c>
      <c r="Z127" s="228"/>
      <c r="AA127" s="228"/>
      <c r="AB127" s="202">
        <v>1069</v>
      </c>
      <c r="AC127" s="202"/>
      <c r="AD127" s="202"/>
      <c r="AE127" s="228"/>
      <c r="AF127" s="240"/>
    </row>
    <row r="128" spans="1:32" s="203" customFormat="1">
      <c r="A128" s="235" t="s">
        <v>217</v>
      </c>
      <c r="B128" s="257" t="s">
        <v>383</v>
      </c>
      <c r="C128" s="235">
        <v>139366</v>
      </c>
      <c r="D128" s="224">
        <v>4</v>
      </c>
      <c r="E128" s="225">
        <f t="shared" si="6"/>
        <v>173570</v>
      </c>
      <c r="F128" s="229">
        <f t="shared" si="7"/>
        <v>173998</v>
      </c>
      <c r="G128" s="226">
        <v>163128</v>
      </c>
      <c r="H128" s="201">
        <v>162178</v>
      </c>
      <c r="I128" s="226">
        <v>5277</v>
      </c>
      <c r="J128" s="201">
        <v>4953</v>
      </c>
      <c r="K128" s="228">
        <v>5165</v>
      </c>
      <c r="L128" s="228"/>
      <c r="M128" s="228"/>
      <c r="N128" s="202">
        <v>6696</v>
      </c>
      <c r="O128" s="202"/>
      <c r="P128" s="202">
        <v>171</v>
      </c>
      <c r="Q128" s="228"/>
      <c r="R128" s="201"/>
      <c r="S128" s="225">
        <f t="shared" si="8"/>
        <v>16623</v>
      </c>
      <c r="T128" s="229">
        <f t="shared" si="9"/>
        <v>19318</v>
      </c>
      <c r="U128" s="226">
        <v>13520</v>
      </c>
      <c r="V128" s="201">
        <v>14974</v>
      </c>
      <c r="W128" s="226">
        <v>1473</v>
      </c>
      <c r="X128" s="201">
        <v>1865</v>
      </c>
      <c r="Y128" s="228">
        <v>1630</v>
      </c>
      <c r="Z128" s="228"/>
      <c r="AA128" s="228"/>
      <c r="AB128" s="202">
        <v>2349</v>
      </c>
      <c r="AC128" s="202"/>
      <c r="AD128" s="202">
        <v>130</v>
      </c>
      <c r="AE128" s="228"/>
      <c r="AF128" s="240"/>
    </row>
    <row r="129" spans="1:32" s="203" customFormat="1">
      <c r="A129" s="235" t="s">
        <v>217</v>
      </c>
      <c r="B129" s="257" t="s">
        <v>384</v>
      </c>
      <c r="C129" s="235">
        <v>139861</v>
      </c>
      <c r="D129" s="235">
        <v>4</v>
      </c>
      <c r="E129" s="225">
        <f t="shared" si="6"/>
        <v>151873</v>
      </c>
      <c r="F129" s="229">
        <f t="shared" si="7"/>
        <v>157611</v>
      </c>
      <c r="G129" s="226">
        <v>149145</v>
      </c>
      <c r="H129" s="201">
        <v>154359</v>
      </c>
      <c r="I129" s="226">
        <v>2680</v>
      </c>
      <c r="J129" s="201">
        <v>2856</v>
      </c>
      <c r="K129" s="228">
        <v>48</v>
      </c>
      <c r="L129" s="228"/>
      <c r="M129" s="228"/>
      <c r="N129" s="202">
        <v>396</v>
      </c>
      <c r="O129" s="202"/>
      <c r="P129" s="202"/>
      <c r="Q129" s="228"/>
      <c r="R129" s="201"/>
      <c r="S129" s="225">
        <f t="shared" si="8"/>
        <v>17893</v>
      </c>
      <c r="T129" s="229">
        <f t="shared" si="9"/>
        <v>19042</v>
      </c>
      <c r="U129" s="226">
        <v>7761</v>
      </c>
      <c r="V129" s="201">
        <v>9885</v>
      </c>
      <c r="W129" s="226">
        <v>8071</v>
      </c>
      <c r="X129" s="201">
        <v>6154</v>
      </c>
      <c r="Y129" s="228">
        <v>2061</v>
      </c>
      <c r="Z129" s="228"/>
      <c r="AA129" s="228"/>
      <c r="AB129" s="202">
        <v>3003</v>
      </c>
      <c r="AC129" s="202"/>
      <c r="AD129" s="202"/>
      <c r="AE129" s="228"/>
      <c r="AF129" s="240"/>
    </row>
    <row r="130" spans="1:32" s="203" customFormat="1">
      <c r="A130" s="235" t="s">
        <v>217</v>
      </c>
      <c r="B130" s="257" t="s">
        <v>385</v>
      </c>
      <c r="C130" s="235">
        <v>140164</v>
      </c>
      <c r="D130" s="224">
        <v>4</v>
      </c>
      <c r="E130" s="225">
        <f t="shared" si="6"/>
        <v>479947</v>
      </c>
      <c r="F130" s="229">
        <f t="shared" si="7"/>
        <v>490013</v>
      </c>
      <c r="G130" s="226">
        <v>461795</v>
      </c>
      <c r="H130" s="201">
        <v>478498</v>
      </c>
      <c r="I130" s="226">
        <v>1744</v>
      </c>
      <c r="J130" s="201">
        <v>1432</v>
      </c>
      <c r="K130" s="228">
        <v>16408</v>
      </c>
      <c r="L130" s="228"/>
      <c r="M130" s="228"/>
      <c r="N130" s="202">
        <v>10083</v>
      </c>
      <c r="O130" s="202"/>
      <c r="P130" s="202"/>
      <c r="Q130" s="228"/>
      <c r="R130" s="201"/>
      <c r="S130" s="225">
        <f t="shared" si="8"/>
        <v>40382</v>
      </c>
      <c r="T130" s="229">
        <f t="shared" si="9"/>
        <v>42312</v>
      </c>
      <c r="U130" s="226">
        <v>32133</v>
      </c>
      <c r="V130" s="201">
        <v>33678</v>
      </c>
      <c r="W130" s="226">
        <v>8021</v>
      </c>
      <c r="X130" s="201">
        <v>8418</v>
      </c>
      <c r="Y130" s="228">
        <v>228</v>
      </c>
      <c r="Z130" s="228"/>
      <c r="AA130" s="228"/>
      <c r="AB130" s="202">
        <v>216</v>
      </c>
      <c r="AC130" s="202"/>
      <c r="AD130" s="202"/>
      <c r="AE130" s="228"/>
      <c r="AF130" s="240"/>
    </row>
    <row r="131" spans="1:32" s="203" customFormat="1">
      <c r="A131" s="235" t="s">
        <v>217</v>
      </c>
      <c r="B131" s="257" t="s">
        <v>386</v>
      </c>
      <c r="C131" s="235">
        <v>138983</v>
      </c>
      <c r="D131" s="224">
        <v>5</v>
      </c>
      <c r="E131" s="225">
        <f t="shared" si="6"/>
        <v>145167</v>
      </c>
      <c r="F131" s="229">
        <f t="shared" si="7"/>
        <v>143656</v>
      </c>
      <c r="G131" s="226">
        <v>139620</v>
      </c>
      <c r="H131" s="201">
        <v>137627</v>
      </c>
      <c r="I131" s="226">
        <v>861</v>
      </c>
      <c r="J131" s="201">
        <v>594</v>
      </c>
      <c r="K131" s="228">
        <v>4587</v>
      </c>
      <c r="L131" s="228"/>
      <c r="M131" s="228">
        <v>99</v>
      </c>
      <c r="N131" s="202">
        <v>5324</v>
      </c>
      <c r="O131" s="202"/>
      <c r="P131" s="202">
        <v>111</v>
      </c>
      <c r="Q131" s="228"/>
      <c r="R131" s="201"/>
      <c r="S131" s="225">
        <f t="shared" si="8"/>
        <v>15056</v>
      </c>
      <c r="T131" s="229">
        <f t="shared" si="9"/>
        <v>18640</v>
      </c>
      <c r="U131" s="226">
        <v>14420</v>
      </c>
      <c r="V131" s="201">
        <v>17443</v>
      </c>
      <c r="W131" s="226">
        <v>240</v>
      </c>
      <c r="X131" s="201">
        <v>426</v>
      </c>
      <c r="Y131" s="228">
        <v>396</v>
      </c>
      <c r="Z131" s="228"/>
      <c r="AA131" s="228"/>
      <c r="AB131" s="202">
        <v>771</v>
      </c>
      <c r="AC131" s="202"/>
      <c r="AD131" s="202"/>
      <c r="AE131" s="228"/>
      <c r="AF131" s="240"/>
    </row>
    <row r="132" spans="1:32" s="203" customFormat="1">
      <c r="A132" s="235" t="s">
        <v>217</v>
      </c>
      <c r="B132" s="257" t="s">
        <v>387</v>
      </c>
      <c r="C132" s="235">
        <v>139719</v>
      </c>
      <c r="D132" s="224">
        <v>5</v>
      </c>
      <c r="E132" s="225">
        <f t="shared" si="6"/>
        <v>69475</v>
      </c>
      <c r="F132" s="229">
        <f t="shared" si="7"/>
        <v>78131</v>
      </c>
      <c r="G132" s="226">
        <v>67859</v>
      </c>
      <c r="H132" s="201">
        <v>77092</v>
      </c>
      <c r="I132" s="226"/>
      <c r="J132" s="201"/>
      <c r="K132" s="228">
        <v>1616</v>
      </c>
      <c r="L132" s="228"/>
      <c r="M132" s="228"/>
      <c r="N132" s="202">
        <v>1039</v>
      </c>
      <c r="O132" s="202"/>
      <c r="P132" s="202"/>
      <c r="Q132" s="228"/>
      <c r="R132" s="201"/>
      <c r="S132" s="225">
        <f t="shared" si="8"/>
        <v>1460</v>
      </c>
      <c r="T132" s="229">
        <f t="shared" si="9"/>
        <v>2129</v>
      </c>
      <c r="U132" s="226">
        <v>1460</v>
      </c>
      <c r="V132" s="201">
        <v>2014</v>
      </c>
      <c r="W132" s="226"/>
      <c r="X132" s="201"/>
      <c r="Y132" s="228"/>
      <c r="Z132" s="228"/>
      <c r="AA132" s="228"/>
      <c r="AB132" s="202">
        <v>115</v>
      </c>
      <c r="AC132" s="202"/>
      <c r="AD132" s="202"/>
      <c r="AE132" s="228"/>
      <c r="AF132" s="240"/>
    </row>
    <row r="133" spans="1:32" s="203" customFormat="1">
      <c r="A133" s="235" t="s">
        <v>217</v>
      </c>
      <c r="B133" s="257" t="s">
        <v>388</v>
      </c>
      <c r="C133" s="235">
        <v>139764</v>
      </c>
      <c r="D133" s="224">
        <v>5</v>
      </c>
      <c r="E133" s="225">
        <f t="shared" si="6"/>
        <v>60529</v>
      </c>
      <c r="F133" s="229">
        <f t="shared" si="7"/>
        <v>62695</v>
      </c>
      <c r="G133" s="226">
        <v>47925</v>
      </c>
      <c r="H133" s="201">
        <v>48287</v>
      </c>
      <c r="I133" s="226">
        <v>33</v>
      </c>
      <c r="J133" s="201">
        <v>343</v>
      </c>
      <c r="K133" s="228">
        <v>12514</v>
      </c>
      <c r="L133" s="228">
        <v>42</v>
      </c>
      <c r="M133" s="228">
        <v>15</v>
      </c>
      <c r="N133" s="202">
        <v>13846</v>
      </c>
      <c r="O133" s="202">
        <f>123+96</f>
        <v>219</v>
      </c>
      <c r="P133" s="202"/>
      <c r="Q133" s="228"/>
      <c r="R133" s="201"/>
      <c r="S133" s="225">
        <f t="shared" si="8"/>
        <v>4050</v>
      </c>
      <c r="T133" s="229">
        <f t="shared" si="9"/>
        <v>4035</v>
      </c>
      <c r="U133" s="226">
        <v>2598</v>
      </c>
      <c r="V133" s="201">
        <v>3321</v>
      </c>
      <c r="W133" s="226">
        <v>24</v>
      </c>
      <c r="X133" s="201"/>
      <c r="Y133" s="228">
        <v>1428</v>
      </c>
      <c r="Z133" s="228"/>
      <c r="AA133" s="228"/>
      <c r="AB133" s="202">
        <v>714</v>
      </c>
      <c r="AC133" s="202"/>
      <c r="AD133" s="202"/>
      <c r="AE133" s="228"/>
      <c r="AF133" s="240"/>
    </row>
    <row r="134" spans="1:32" s="203" customFormat="1">
      <c r="A134" s="235" t="s">
        <v>217</v>
      </c>
      <c r="B134" s="257" t="s">
        <v>389</v>
      </c>
      <c r="C134" s="235">
        <v>140669</v>
      </c>
      <c r="D134" s="224">
        <v>5</v>
      </c>
      <c r="E134" s="225">
        <f t="shared" ref="E134:E197" si="10">SUM(G134,I134,K134,L134,M134,Q134)</f>
        <v>125538</v>
      </c>
      <c r="F134" s="229">
        <f t="shared" ref="F134:F197" si="11">SUM(H134,J134,N134,O134,P134,R134)</f>
        <v>129133</v>
      </c>
      <c r="G134" s="226">
        <v>115129</v>
      </c>
      <c r="H134" s="201">
        <v>115829</v>
      </c>
      <c r="I134" s="226">
        <v>5172</v>
      </c>
      <c r="J134" s="201">
        <v>5924</v>
      </c>
      <c r="K134" s="228">
        <v>4009</v>
      </c>
      <c r="L134" s="228">
        <f>722+165</f>
        <v>887</v>
      </c>
      <c r="M134" s="228">
        <v>340</v>
      </c>
      <c r="N134" s="202">
        <v>4142</v>
      </c>
      <c r="O134" s="202">
        <f>907+452</f>
        <v>1359</v>
      </c>
      <c r="P134" s="202">
        <v>1780</v>
      </c>
      <c r="Q134" s="228">
        <v>1</v>
      </c>
      <c r="R134" s="201">
        <v>99</v>
      </c>
      <c r="S134" s="225">
        <f t="shared" ref="S134:S197" si="12">SUM(U134,W134,Y134,Z134,AA134,AE134)</f>
        <v>11124</v>
      </c>
      <c r="T134" s="229">
        <f t="shared" ref="T134:T197" si="13">SUM(V134,X134,AB134,AC134,AD134,AF134)</f>
        <v>11794</v>
      </c>
      <c r="U134" s="226">
        <v>7926</v>
      </c>
      <c r="V134" s="201">
        <v>5955</v>
      </c>
      <c r="W134" s="226">
        <v>2706</v>
      </c>
      <c r="X134" s="201">
        <v>5309</v>
      </c>
      <c r="Y134" s="228">
        <v>492</v>
      </c>
      <c r="Z134" s="228"/>
      <c r="AA134" s="228"/>
      <c r="AB134" s="202">
        <v>530</v>
      </c>
      <c r="AC134" s="202"/>
      <c r="AD134" s="202"/>
      <c r="AE134" s="228"/>
      <c r="AF134" s="240"/>
    </row>
    <row r="135" spans="1:32" s="203" customFormat="1">
      <c r="A135" s="235" t="s">
        <v>217</v>
      </c>
      <c r="B135" s="257" t="s">
        <v>390</v>
      </c>
      <c r="C135" s="235">
        <v>140960</v>
      </c>
      <c r="D135" s="235">
        <v>5</v>
      </c>
      <c r="E135" s="225">
        <f t="shared" si="10"/>
        <v>87514</v>
      </c>
      <c r="F135" s="229">
        <f t="shared" si="11"/>
        <v>91145</v>
      </c>
      <c r="G135" s="226">
        <v>87367</v>
      </c>
      <c r="H135" s="201">
        <v>89634</v>
      </c>
      <c r="I135" s="226">
        <v>147</v>
      </c>
      <c r="J135" s="201">
        <v>418</v>
      </c>
      <c r="K135" s="228"/>
      <c r="L135" s="228"/>
      <c r="M135" s="228"/>
      <c r="N135" s="202">
        <v>1093</v>
      </c>
      <c r="O135" s="202"/>
      <c r="P135" s="202"/>
      <c r="Q135" s="228"/>
      <c r="R135" s="201"/>
      <c r="S135" s="225">
        <f t="shared" si="12"/>
        <v>2440</v>
      </c>
      <c r="T135" s="229">
        <f t="shared" si="13"/>
        <v>2379</v>
      </c>
      <c r="U135" s="226">
        <v>639</v>
      </c>
      <c r="V135" s="201">
        <v>954</v>
      </c>
      <c r="W135" s="226">
        <v>1801</v>
      </c>
      <c r="X135" s="201">
        <v>1419</v>
      </c>
      <c r="Y135" s="228"/>
      <c r="Z135" s="228"/>
      <c r="AA135" s="228"/>
      <c r="AB135" s="202">
        <v>6</v>
      </c>
      <c r="AC135" s="202"/>
      <c r="AD135" s="202"/>
      <c r="AE135" s="228"/>
      <c r="AF135" s="240"/>
    </row>
    <row r="136" spans="1:32" s="203" customFormat="1">
      <c r="A136" s="235" t="s">
        <v>217</v>
      </c>
      <c r="B136" s="257" t="s">
        <v>391</v>
      </c>
      <c r="C136" s="235">
        <v>139311</v>
      </c>
      <c r="D136" s="235">
        <v>6</v>
      </c>
      <c r="E136" s="225">
        <f t="shared" si="10"/>
        <v>146952</v>
      </c>
      <c r="F136" s="229">
        <f t="shared" si="11"/>
        <v>140551</v>
      </c>
      <c r="G136" s="226">
        <v>130376</v>
      </c>
      <c r="H136" s="201">
        <v>132406</v>
      </c>
      <c r="I136" s="226"/>
      <c r="J136" s="201">
        <v>430</v>
      </c>
      <c r="K136" s="228">
        <v>15717</v>
      </c>
      <c r="L136" s="228"/>
      <c r="M136" s="228">
        <v>99</v>
      </c>
      <c r="N136" s="202">
        <v>7715</v>
      </c>
      <c r="O136" s="202"/>
      <c r="P136" s="202"/>
      <c r="Q136" s="228">
        <v>760</v>
      </c>
      <c r="R136" s="201"/>
      <c r="S136" s="225">
        <f t="shared" si="12"/>
        <v>630</v>
      </c>
      <c r="T136" s="229">
        <f t="shared" si="13"/>
        <v>2170</v>
      </c>
      <c r="U136" s="226">
        <v>447</v>
      </c>
      <c r="V136" s="201">
        <v>2124</v>
      </c>
      <c r="W136" s="226"/>
      <c r="X136" s="201"/>
      <c r="Y136" s="228">
        <v>160</v>
      </c>
      <c r="Z136" s="228"/>
      <c r="AA136" s="228">
        <v>23</v>
      </c>
      <c r="AB136" s="202">
        <v>46</v>
      </c>
      <c r="AC136" s="202"/>
      <c r="AD136" s="202"/>
      <c r="AE136" s="228"/>
      <c r="AF136" s="240"/>
    </row>
    <row r="137" spans="1:32" s="203" customFormat="1">
      <c r="A137" s="235" t="s">
        <v>217</v>
      </c>
      <c r="B137" s="257" t="s">
        <v>393</v>
      </c>
      <c r="C137" s="235">
        <v>140322</v>
      </c>
      <c r="D137" s="235">
        <v>6</v>
      </c>
      <c r="E137" s="225">
        <f t="shared" si="10"/>
        <v>147335</v>
      </c>
      <c r="F137" s="229">
        <f t="shared" si="11"/>
        <v>143602</v>
      </c>
      <c r="G137" s="226">
        <v>97908</v>
      </c>
      <c r="H137" s="201">
        <v>100370</v>
      </c>
      <c r="I137" s="226">
        <v>30543</v>
      </c>
      <c r="J137" s="201">
        <v>28437</v>
      </c>
      <c r="K137" s="228">
        <v>18884</v>
      </c>
      <c r="L137" s="228"/>
      <c r="M137" s="228"/>
      <c r="N137" s="202">
        <v>14795</v>
      </c>
      <c r="O137" s="202"/>
      <c r="P137" s="202"/>
      <c r="Q137" s="228"/>
      <c r="R137" s="201"/>
      <c r="S137" s="225">
        <f t="shared" si="12"/>
        <v>0</v>
      </c>
      <c r="T137" s="229">
        <f t="shared" si="13"/>
        <v>0</v>
      </c>
      <c r="U137" s="226"/>
      <c r="V137" s="201"/>
      <c r="W137" s="226"/>
      <c r="X137" s="201"/>
      <c r="Y137" s="228"/>
      <c r="Z137" s="228"/>
      <c r="AA137" s="228"/>
      <c r="AB137" s="202"/>
      <c r="AC137" s="202"/>
      <c r="AD137" s="202"/>
      <c r="AE137" s="228"/>
      <c r="AF137" s="240"/>
    </row>
    <row r="138" spans="1:32" s="203" customFormat="1">
      <c r="A138" s="235" t="s">
        <v>217</v>
      </c>
      <c r="B138" s="257" t="s">
        <v>394</v>
      </c>
      <c r="C138" s="235">
        <v>139463</v>
      </c>
      <c r="D138" s="235">
        <v>7</v>
      </c>
      <c r="E138" s="225">
        <f t="shared" si="10"/>
        <v>95345</v>
      </c>
      <c r="F138" s="229">
        <f t="shared" si="11"/>
        <v>104245</v>
      </c>
      <c r="G138" s="226">
        <v>93061</v>
      </c>
      <c r="H138" s="201">
        <v>102264</v>
      </c>
      <c r="I138" s="226">
        <v>1757</v>
      </c>
      <c r="J138" s="201">
        <v>1501</v>
      </c>
      <c r="K138" s="228">
        <v>527</v>
      </c>
      <c r="L138" s="228"/>
      <c r="M138" s="228"/>
      <c r="N138" s="202">
        <v>480</v>
      </c>
      <c r="O138" s="202"/>
      <c r="P138" s="202"/>
      <c r="Q138" s="228"/>
      <c r="R138" s="201"/>
      <c r="S138" s="225">
        <f t="shared" si="12"/>
        <v>0</v>
      </c>
      <c r="T138" s="229">
        <f t="shared" si="13"/>
        <v>0</v>
      </c>
      <c r="U138" s="226"/>
      <c r="V138" s="201"/>
      <c r="W138" s="226"/>
      <c r="X138" s="201"/>
      <c r="Y138" s="228"/>
      <c r="Z138" s="228"/>
      <c r="AA138" s="228"/>
      <c r="AB138" s="202"/>
      <c r="AC138" s="202"/>
      <c r="AD138" s="202"/>
      <c r="AE138" s="228"/>
      <c r="AF138" s="240"/>
    </row>
    <row r="139" spans="1:32" s="203" customFormat="1">
      <c r="A139" s="235" t="s">
        <v>217</v>
      </c>
      <c r="B139" s="257" t="s">
        <v>395</v>
      </c>
      <c r="C139" s="235">
        <v>244437</v>
      </c>
      <c r="D139" s="238">
        <v>8</v>
      </c>
      <c r="E139" s="225">
        <f t="shared" si="10"/>
        <v>484348</v>
      </c>
      <c r="F139" s="229">
        <f t="shared" si="11"/>
        <v>497463</v>
      </c>
      <c r="G139" s="226">
        <v>309980</v>
      </c>
      <c r="H139" s="201">
        <v>365645</v>
      </c>
      <c r="I139" s="226">
        <v>115196</v>
      </c>
      <c r="J139" s="201">
        <v>44587</v>
      </c>
      <c r="K139" s="228">
        <v>57685</v>
      </c>
      <c r="L139" s="228">
        <f>1030+457</f>
        <v>1487</v>
      </c>
      <c r="M139" s="228"/>
      <c r="N139" s="202">
        <v>86547</v>
      </c>
      <c r="O139" s="202">
        <f>468+216</f>
        <v>684</v>
      </c>
      <c r="P139" s="202"/>
      <c r="Q139" s="228"/>
      <c r="R139" s="201"/>
      <c r="S139" s="225">
        <f t="shared" si="12"/>
        <v>0</v>
      </c>
      <c r="T139" s="229">
        <f t="shared" si="13"/>
        <v>0</v>
      </c>
      <c r="U139" s="226"/>
      <c r="V139" s="201"/>
      <c r="W139" s="226"/>
      <c r="X139" s="201"/>
      <c r="Y139" s="228"/>
      <c r="Z139" s="228"/>
      <c r="AA139" s="228"/>
      <c r="AB139" s="202"/>
      <c r="AC139" s="202"/>
      <c r="AD139" s="202"/>
      <c r="AE139" s="228"/>
      <c r="AF139" s="240"/>
    </row>
    <row r="140" spans="1:32" s="203" customFormat="1">
      <c r="A140" s="235" t="s">
        <v>217</v>
      </c>
      <c r="B140" s="257" t="s">
        <v>396</v>
      </c>
      <c r="C140" s="235">
        <v>138558</v>
      </c>
      <c r="D140" s="235">
        <v>9</v>
      </c>
      <c r="E140" s="225">
        <f t="shared" si="10"/>
        <v>86301</v>
      </c>
      <c r="F140" s="229">
        <f t="shared" si="11"/>
        <v>86217</v>
      </c>
      <c r="G140" s="226">
        <v>81685</v>
      </c>
      <c r="H140" s="201">
        <v>79025</v>
      </c>
      <c r="I140" s="226">
        <v>1722</v>
      </c>
      <c r="J140" s="201">
        <v>3641</v>
      </c>
      <c r="K140" s="228">
        <v>2049</v>
      </c>
      <c r="L140" s="228"/>
      <c r="M140" s="228">
        <v>671</v>
      </c>
      <c r="N140" s="202">
        <v>2235</v>
      </c>
      <c r="O140" s="202">
        <f>926+327</f>
        <v>1253</v>
      </c>
      <c r="P140" s="202">
        <v>63</v>
      </c>
      <c r="Q140" s="228">
        <v>174</v>
      </c>
      <c r="R140" s="201"/>
      <c r="S140" s="225">
        <f t="shared" si="12"/>
        <v>0</v>
      </c>
      <c r="T140" s="229">
        <f t="shared" si="13"/>
        <v>0</v>
      </c>
      <c r="U140" s="226"/>
      <c r="V140" s="201"/>
      <c r="W140" s="226"/>
      <c r="X140" s="201"/>
      <c r="Y140" s="228"/>
      <c r="Z140" s="228"/>
      <c r="AA140" s="228"/>
      <c r="AB140" s="202"/>
      <c r="AC140" s="202"/>
      <c r="AD140" s="202"/>
      <c r="AE140" s="228"/>
      <c r="AF140" s="240"/>
    </row>
    <row r="141" spans="1:32" s="203" customFormat="1">
      <c r="A141" s="235" t="s">
        <v>217</v>
      </c>
      <c r="B141" s="260" t="s">
        <v>402</v>
      </c>
      <c r="C141" s="259">
        <v>139010</v>
      </c>
      <c r="D141" s="261">
        <v>9</v>
      </c>
      <c r="E141" s="225">
        <f t="shared" si="10"/>
        <v>64561</v>
      </c>
      <c r="F141" s="229">
        <f t="shared" si="11"/>
        <v>66463</v>
      </c>
      <c r="G141" s="226">
        <v>47062</v>
      </c>
      <c r="H141" s="201">
        <v>44817</v>
      </c>
      <c r="I141" s="226">
        <v>12547</v>
      </c>
      <c r="J141" s="201">
        <v>16167</v>
      </c>
      <c r="K141" s="228">
        <v>4952</v>
      </c>
      <c r="L141" s="228"/>
      <c r="M141" s="228"/>
      <c r="N141" s="202">
        <v>5479</v>
      </c>
      <c r="O141" s="202"/>
      <c r="P141" s="202"/>
      <c r="Q141" s="228"/>
      <c r="R141" s="201"/>
      <c r="S141" s="225">
        <f t="shared" si="12"/>
        <v>0</v>
      </c>
      <c r="T141" s="229">
        <f t="shared" si="13"/>
        <v>0</v>
      </c>
      <c r="U141" s="226"/>
      <c r="V141" s="201"/>
      <c r="W141" s="226"/>
      <c r="X141" s="201"/>
      <c r="Y141" s="228"/>
      <c r="Z141" s="228"/>
      <c r="AA141" s="228"/>
      <c r="AB141" s="202"/>
      <c r="AC141" s="202"/>
      <c r="AD141" s="202"/>
      <c r="AE141" s="228"/>
      <c r="AF141" s="240"/>
    </row>
    <row r="142" spans="1:32" s="203" customFormat="1">
      <c r="A142" s="235" t="s">
        <v>217</v>
      </c>
      <c r="B142" s="262" t="s">
        <v>403</v>
      </c>
      <c r="C142" s="259">
        <v>139250</v>
      </c>
      <c r="D142" s="237">
        <v>9</v>
      </c>
      <c r="E142" s="225">
        <f t="shared" si="10"/>
        <v>61125</v>
      </c>
      <c r="F142" s="229">
        <f t="shared" si="11"/>
        <v>56114.5</v>
      </c>
      <c r="G142" s="226">
        <v>41941.5</v>
      </c>
      <c r="H142" s="201">
        <v>52040</v>
      </c>
      <c r="I142" s="226">
        <v>13206.5</v>
      </c>
      <c r="J142" s="201">
        <v>837.5</v>
      </c>
      <c r="K142" s="228">
        <v>2773</v>
      </c>
      <c r="L142" s="228">
        <f>1933+1271</f>
        <v>3204</v>
      </c>
      <c r="M142" s="228"/>
      <c r="N142" s="202">
        <v>1173</v>
      </c>
      <c r="O142" s="202">
        <f>1688+376</f>
        <v>2064</v>
      </c>
      <c r="P142" s="202"/>
      <c r="Q142" s="228"/>
      <c r="R142" s="201"/>
      <c r="S142" s="225">
        <f t="shared" si="12"/>
        <v>0</v>
      </c>
      <c r="T142" s="229">
        <f t="shared" si="13"/>
        <v>0</v>
      </c>
      <c r="U142" s="226"/>
      <c r="V142" s="201"/>
      <c r="W142" s="226"/>
      <c r="X142" s="201"/>
      <c r="Y142" s="228"/>
      <c r="Z142" s="228"/>
      <c r="AA142" s="228"/>
      <c r="AB142" s="202"/>
      <c r="AC142" s="202"/>
      <c r="AD142" s="202"/>
      <c r="AE142" s="228"/>
      <c r="AF142" s="240"/>
    </row>
    <row r="143" spans="1:32" s="203" customFormat="1">
      <c r="A143" s="235" t="s">
        <v>217</v>
      </c>
      <c r="B143" s="257" t="s">
        <v>397</v>
      </c>
      <c r="C143" s="235">
        <v>138691</v>
      </c>
      <c r="D143" s="235">
        <v>9</v>
      </c>
      <c r="E143" s="225">
        <f t="shared" si="10"/>
        <v>107956.5</v>
      </c>
      <c r="F143" s="229">
        <f t="shared" si="11"/>
        <v>113430</v>
      </c>
      <c r="G143" s="226">
        <v>77748.5</v>
      </c>
      <c r="H143" s="201">
        <v>76994</v>
      </c>
      <c r="I143" s="226">
        <v>4568</v>
      </c>
      <c r="J143" s="201">
        <v>3670</v>
      </c>
      <c r="K143" s="228">
        <v>25379</v>
      </c>
      <c r="L143" s="228"/>
      <c r="M143" s="228">
        <v>261</v>
      </c>
      <c r="N143" s="202">
        <v>32277</v>
      </c>
      <c r="O143" s="202">
        <f>150+12</f>
        <v>162</v>
      </c>
      <c r="P143" s="202">
        <v>327</v>
      </c>
      <c r="Q143" s="228"/>
      <c r="R143" s="201"/>
      <c r="S143" s="225">
        <f t="shared" si="12"/>
        <v>0</v>
      </c>
      <c r="T143" s="229">
        <f t="shared" si="13"/>
        <v>0</v>
      </c>
      <c r="U143" s="226"/>
      <c r="V143" s="201"/>
      <c r="W143" s="226"/>
      <c r="X143" s="201"/>
      <c r="Y143" s="228"/>
      <c r="Z143" s="228"/>
      <c r="AA143" s="228"/>
      <c r="AB143" s="202"/>
      <c r="AC143" s="202"/>
      <c r="AD143" s="202"/>
      <c r="AE143" s="228"/>
      <c r="AF143" s="240"/>
    </row>
    <row r="144" spans="1:32" s="203" customFormat="1">
      <c r="A144" s="235" t="s">
        <v>217</v>
      </c>
      <c r="B144" s="263" t="s">
        <v>398</v>
      </c>
      <c r="C144" s="235">
        <v>139773</v>
      </c>
      <c r="D144" s="235">
        <v>9</v>
      </c>
      <c r="E144" s="225">
        <f t="shared" si="10"/>
        <v>165613</v>
      </c>
      <c r="F144" s="229">
        <f t="shared" si="11"/>
        <v>186977</v>
      </c>
      <c r="G144" s="226">
        <v>109403</v>
      </c>
      <c r="H144" s="201">
        <v>129484</v>
      </c>
      <c r="I144" s="226">
        <v>53629</v>
      </c>
      <c r="J144" s="201">
        <v>53830</v>
      </c>
      <c r="K144" s="228">
        <v>2581</v>
      </c>
      <c r="L144" s="228"/>
      <c r="M144" s="228"/>
      <c r="N144" s="202">
        <v>3663</v>
      </c>
      <c r="O144" s="202"/>
      <c r="P144" s="202"/>
      <c r="Q144" s="228"/>
      <c r="R144" s="201"/>
      <c r="S144" s="225">
        <f t="shared" si="12"/>
        <v>0</v>
      </c>
      <c r="T144" s="229">
        <f t="shared" si="13"/>
        <v>0</v>
      </c>
      <c r="U144" s="226"/>
      <c r="V144" s="201"/>
      <c r="W144" s="226"/>
      <c r="X144" s="201"/>
      <c r="Y144" s="228"/>
      <c r="Z144" s="228"/>
      <c r="AA144" s="228"/>
      <c r="AB144" s="202"/>
      <c r="AC144" s="202"/>
      <c r="AD144" s="202"/>
      <c r="AE144" s="228"/>
      <c r="AF144" s="240"/>
    </row>
    <row r="145" spans="1:32" s="203" customFormat="1">
      <c r="A145" s="235" t="s">
        <v>217</v>
      </c>
      <c r="B145" s="257" t="s">
        <v>407</v>
      </c>
      <c r="C145" s="235">
        <v>139700</v>
      </c>
      <c r="D145" s="235">
        <v>9</v>
      </c>
      <c r="E145" s="225">
        <f t="shared" si="10"/>
        <v>94179</v>
      </c>
      <c r="F145" s="229">
        <f t="shared" si="11"/>
        <v>103478</v>
      </c>
      <c r="G145" s="226">
        <v>73949</v>
      </c>
      <c r="H145" s="201">
        <v>79925</v>
      </c>
      <c r="I145" s="226">
        <v>16826</v>
      </c>
      <c r="J145" s="201">
        <v>17900</v>
      </c>
      <c r="K145" s="228">
        <v>2251</v>
      </c>
      <c r="L145" s="228"/>
      <c r="M145" s="228">
        <v>1153</v>
      </c>
      <c r="N145" s="202">
        <v>4063</v>
      </c>
      <c r="O145" s="202"/>
      <c r="P145" s="202">
        <v>1590</v>
      </c>
      <c r="Q145" s="228"/>
      <c r="R145" s="201"/>
      <c r="S145" s="225">
        <f t="shared" si="12"/>
        <v>0</v>
      </c>
      <c r="T145" s="229">
        <f t="shared" si="13"/>
        <v>0</v>
      </c>
      <c r="U145" s="226"/>
      <c r="V145" s="201"/>
      <c r="W145" s="226"/>
      <c r="X145" s="201"/>
      <c r="Y145" s="228"/>
      <c r="Z145" s="228"/>
      <c r="AA145" s="228"/>
      <c r="AB145" s="202"/>
      <c r="AC145" s="202"/>
      <c r="AD145" s="202"/>
      <c r="AE145" s="228"/>
      <c r="AF145" s="240"/>
    </row>
    <row r="146" spans="1:32" s="203" customFormat="1">
      <c r="A146" s="235" t="s">
        <v>217</v>
      </c>
      <c r="B146" s="257" t="s">
        <v>399</v>
      </c>
      <c r="C146" s="235">
        <v>139968</v>
      </c>
      <c r="D146" s="235">
        <v>9</v>
      </c>
      <c r="E146" s="225">
        <f t="shared" si="10"/>
        <v>86806</v>
      </c>
      <c r="F146" s="229">
        <f t="shared" si="11"/>
        <v>90576</v>
      </c>
      <c r="G146" s="226">
        <v>81740</v>
      </c>
      <c r="H146" s="201">
        <v>87272</v>
      </c>
      <c r="I146" s="226">
        <v>4238</v>
      </c>
      <c r="J146" s="201">
        <v>1715</v>
      </c>
      <c r="K146" s="228">
        <v>828</v>
      </c>
      <c r="L146" s="228"/>
      <c r="M146" s="228"/>
      <c r="N146" s="202">
        <v>1589</v>
      </c>
      <c r="O146" s="202"/>
      <c r="P146" s="202"/>
      <c r="Q146" s="228"/>
      <c r="R146" s="201"/>
      <c r="S146" s="225">
        <f t="shared" si="12"/>
        <v>0</v>
      </c>
      <c r="T146" s="229">
        <f t="shared" si="13"/>
        <v>0</v>
      </c>
      <c r="U146" s="226"/>
      <c r="V146" s="201"/>
      <c r="W146" s="226"/>
      <c r="X146" s="201"/>
      <c r="Y146" s="228"/>
      <c r="Z146" s="228"/>
      <c r="AA146" s="228"/>
      <c r="AB146" s="202"/>
      <c r="AC146" s="202"/>
      <c r="AD146" s="202"/>
      <c r="AE146" s="228"/>
      <c r="AF146" s="240"/>
    </row>
    <row r="147" spans="1:32" s="203" customFormat="1">
      <c r="A147" s="235" t="s">
        <v>217</v>
      </c>
      <c r="B147" s="351" t="s">
        <v>400</v>
      </c>
      <c r="C147" s="235">
        <v>140483</v>
      </c>
      <c r="D147" s="235">
        <v>9</v>
      </c>
      <c r="E147" s="225">
        <f t="shared" si="10"/>
        <v>87554</v>
      </c>
      <c r="F147" s="229">
        <f t="shared" si="11"/>
        <v>89469</v>
      </c>
      <c r="G147" s="226">
        <f>49378+5459</f>
        <v>54837</v>
      </c>
      <c r="H147" s="201">
        <v>59378</v>
      </c>
      <c r="I147" s="226">
        <v>19038</v>
      </c>
      <c r="J147" s="201">
        <v>19577</v>
      </c>
      <c r="K147" s="228">
        <f>13617+62</f>
        <v>13679</v>
      </c>
      <c r="L147" s="228"/>
      <c r="M147" s="228"/>
      <c r="N147" s="523">
        <v>10514</v>
      </c>
      <c r="O147" s="202"/>
      <c r="P147" s="202"/>
      <c r="Q147" s="228"/>
      <c r="R147" s="201"/>
      <c r="S147" s="225">
        <f t="shared" si="12"/>
        <v>0</v>
      </c>
      <c r="T147" s="229">
        <f t="shared" si="13"/>
        <v>0</v>
      </c>
      <c r="U147" s="226"/>
      <c r="V147" s="201"/>
      <c r="W147" s="226"/>
      <c r="X147" s="201"/>
      <c r="Y147" s="228"/>
      <c r="Z147" s="228"/>
      <c r="AA147" s="228"/>
      <c r="AB147" s="202"/>
      <c r="AC147" s="202"/>
      <c r="AD147" s="202"/>
      <c r="AE147" s="228"/>
      <c r="AF147" s="240"/>
    </row>
    <row r="148" spans="1:32" s="203" customFormat="1">
      <c r="A148" s="235" t="s">
        <v>217</v>
      </c>
      <c r="B148" s="257" t="s">
        <v>401</v>
      </c>
      <c r="C148" s="235">
        <v>138901</v>
      </c>
      <c r="D148" s="235">
        <v>10</v>
      </c>
      <c r="E148" s="225">
        <f t="shared" si="10"/>
        <v>45676</v>
      </c>
      <c r="F148" s="229">
        <f t="shared" si="11"/>
        <v>52494</v>
      </c>
      <c r="G148" s="226">
        <v>43795</v>
      </c>
      <c r="H148" s="201">
        <v>49400</v>
      </c>
      <c r="I148" s="226">
        <v>582</v>
      </c>
      <c r="J148" s="201"/>
      <c r="K148" s="228">
        <v>1299</v>
      </c>
      <c r="L148" s="228"/>
      <c r="M148" s="228"/>
      <c r="N148" s="202">
        <v>3094</v>
      </c>
      <c r="O148" s="202"/>
      <c r="P148" s="202"/>
      <c r="Q148" s="228"/>
      <c r="R148" s="201"/>
      <c r="S148" s="225">
        <f t="shared" si="12"/>
        <v>0</v>
      </c>
      <c r="T148" s="229">
        <f t="shared" si="13"/>
        <v>0</v>
      </c>
      <c r="U148" s="226"/>
      <c r="V148" s="201"/>
      <c r="W148" s="226"/>
      <c r="X148" s="201"/>
      <c r="Y148" s="228"/>
      <c r="Z148" s="228"/>
      <c r="AA148" s="228"/>
      <c r="AB148" s="202"/>
      <c r="AC148" s="202"/>
      <c r="AD148" s="202"/>
      <c r="AE148" s="228"/>
      <c r="AF148" s="240"/>
    </row>
    <row r="149" spans="1:32" s="203" customFormat="1">
      <c r="A149" s="235" t="s">
        <v>217</v>
      </c>
      <c r="B149" s="257" t="s">
        <v>404</v>
      </c>
      <c r="C149" s="235">
        <v>139621</v>
      </c>
      <c r="D149" s="235">
        <v>10</v>
      </c>
      <c r="E149" s="225">
        <f t="shared" si="10"/>
        <v>45702</v>
      </c>
      <c r="F149" s="229">
        <f t="shared" si="11"/>
        <v>57105</v>
      </c>
      <c r="G149" s="226">
        <v>18116</v>
      </c>
      <c r="H149" s="201">
        <v>20069</v>
      </c>
      <c r="I149" s="226">
        <v>23550</v>
      </c>
      <c r="J149" s="201">
        <v>31458</v>
      </c>
      <c r="K149" s="228">
        <v>4036</v>
      </c>
      <c r="L149" s="228"/>
      <c r="M149" s="228"/>
      <c r="N149" s="202">
        <v>5578</v>
      </c>
      <c r="O149" s="202"/>
      <c r="P149" s="202"/>
      <c r="Q149" s="228"/>
      <c r="R149" s="201"/>
      <c r="S149" s="225">
        <f t="shared" si="12"/>
        <v>0</v>
      </c>
      <c r="T149" s="229">
        <f t="shared" si="13"/>
        <v>0</v>
      </c>
      <c r="U149" s="226"/>
      <c r="V149" s="201"/>
      <c r="W149" s="226"/>
      <c r="X149" s="201"/>
      <c r="Y149" s="228"/>
      <c r="Z149" s="228"/>
      <c r="AA149" s="228"/>
      <c r="AB149" s="202"/>
      <c r="AC149" s="202"/>
      <c r="AD149" s="202"/>
      <c r="AE149" s="228"/>
      <c r="AF149" s="240"/>
    </row>
    <row r="150" spans="1:32" s="203" customFormat="1">
      <c r="A150" s="235" t="s">
        <v>217</v>
      </c>
      <c r="B150" s="257" t="s">
        <v>405</v>
      </c>
      <c r="C150" s="235">
        <v>140997</v>
      </c>
      <c r="D150" s="235">
        <v>10</v>
      </c>
      <c r="E150" s="225">
        <f t="shared" si="10"/>
        <v>41821</v>
      </c>
      <c r="F150" s="229">
        <f t="shared" si="11"/>
        <v>45792</v>
      </c>
      <c r="G150" s="226">
        <v>30119</v>
      </c>
      <c r="H150" s="201">
        <v>32547</v>
      </c>
      <c r="I150" s="226">
        <v>11190</v>
      </c>
      <c r="J150" s="201">
        <v>11837</v>
      </c>
      <c r="K150" s="228">
        <v>512</v>
      </c>
      <c r="L150" s="228"/>
      <c r="M150" s="228"/>
      <c r="N150" s="202">
        <v>1408</v>
      </c>
      <c r="O150" s="202"/>
      <c r="P150" s="202"/>
      <c r="Q150" s="228"/>
      <c r="R150" s="201"/>
      <c r="S150" s="225">
        <f t="shared" si="12"/>
        <v>0</v>
      </c>
      <c r="T150" s="229">
        <f t="shared" si="13"/>
        <v>0</v>
      </c>
      <c r="U150" s="226"/>
      <c r="V150" s="201"/>
      <c r="W150" s="226"/>
      <c r="X150" s="201"/>
      <c r="Y150" s="228"/>
      <c r="Z150" s="228"/>
      <c r="AA150" s="228"/>
      <c r="AB150" s="202"/>
      <c r="AC150" s="202"/>
      <c r="AD150" s="202"/>
      <c r="AE150" s="228"/>
      <c r="AF150" s="240"/>
    </row>
    <row r="151" spans="1:32" s="203" customFormat="1">
      <c r="A151" s="235" t="s">
        <v>217</v>
      </c>
      <c r="B151" s="257" t="s">
        <v>406</v>
      </c>
      <c r="C151" s="235">
        <v>141307</v>
      </c>
      <c r="D151" s="235">
        <v>10</v>
      </c>
      <c r="E151" s="225">
        <f t="shared" si="10"/>
        <v>19736</v>
      </c>
      <c r="F151" s="229">
        <f t="shared" si="11"/>
        <v>19611</v>
      </c>
      <c r="G151" s="226">
        <v>17226</v>
      </c>
      <c r="H151" s="201">
        <v>16801</v>
      </c>
      <c r="I151" s="226">
        <v>2055</v>
      </c>
      <c r="J151" s="201">
        <v>2131</v>
      </c>
      <c r="K151" s="228">
        <v>455</v>
      </c>
      <c r="L151" s="228"/>
      <c r="M151" s="228"/>
      <c r="N151" s="202">
        <v>679</v>
      </c>
      <c r="O151" s="202"/>
      <c r="P151" s="202"/>
      <c r="Q151" s="228"/>
      <c r="R151" s="201"/>
      <c r="S151" s="225">
        <f t="shared" si="12"/>
        <v>0</v>
      </c>
      <c r="T151" s="229">
        <f t="shared" si="13"/>
        <v>0</v>
      </c>
      <c r="U151" s="226"/>
      <c r="V151" s="201"/>
      <c r="W151" s="226"/>
      <c r="X151" s="201"/>
      <c r="Y151" s="228"/>
      <c r="Z151" s="228"/>
      <c r="AA151" s="228"/>
      <c r="AB151" s="202"/>
      <c r="AC151" s="202"/>
      <c r="AD151" s="202"/>
      <c r="AE151" s="228"/>
      <c r="AF151" s="240"/>
    </row>
    <row r="152" spans="1:32" s="203" customFormat="1">
      <c r="A152" s="330" t="s">
        <v>217</v>
      </c>
      <c r="B152" s="242" t="s">
        <v>342</v>
      </c>
      <c r="C152" s="330">
        <v>138682</v>
      </c>
      <c r="D152" s="330">
        <v>12</v>
      </c>
      <c r="E152" s="225">
        <f t="shared" si="10"/>
        <v>113254.5</v>
      </c>
      <c r="F152" s="229">
        <f t="shared" si="11"/>
        <v>122631</v>
      </c>
      <c r="G152" s="226">
        <v>73343.5</v>
      </c>
      <c r="H152" s="201">
        <v>69847</v>
      </c>
      <c r="I152" s="226"/>
      <c r="J152" s="201"/>
      <c r="K152" s="228">
        <v>39911</v>
      </c>
      <c r="L152" s="228">
        <v>0</v>
      </c>
      <c r="M152" s="228">
        <v>0</v>
      </c>
      <c r="N152" s="202">
        <v>52784</v>
      </c>
      <c r="O152" s="202">
        <v>0</v>
      </c>
      <c r="P152" s="202">
        <v>0</v>
      </c>
      <c r="Q152" s="228"/>
      <c r="R152" s="201"/>
      <c r="S152" s="225">
        <f t="shared" si="12"/>
        <v>0</v>
      </c>
      <c r="T152" s="229">
        <f t="shared" si="13"/>
        <v>0</v>
      </c>
      <c r="U152" s="226"/>
      <c r="V152" s="201"/>
      <c r="W152" s="226"/>
      <c r="X152" s="201"/>
      <c r="Y152" s="228"/>
      <c r="Z152" s="228"/>
      <c r="AA152" s="228"/>
      <c r="AB152" s="202"/>
      <c r="AC152" s="202"/>
      <c r="AD152" s="202"/>
      <c r="AE152" s="228"/>
      <c r="AF152" s="240"/>
    </row>
    <row r="153" spans="1:32" s="203" customFormat="1">
      <c r="A153" s="330" t="s">
        <v>217</v>
      </c>
      <c r="B153" s="242" t="s">
        <v>343</v>
      </c>
      <c r="C153" s="330">
        <v>246813</v>
      </c>
      <c r="D153" s="330">
        <v>12</v>
      </c>
      <c r="E153" s="225">
        <f t="shared" si="10"/>
        <v>126816</v>
      </c>
      <c r="F153" s="229">
        <f t="shared" si="11"/>
        <v>133248</v>
      </c>
      <c r="G153" s="226">
        <v>112281</v>
      </c>
      <c r="H153" s="201">
        <v>116141</v>
      </c>
      <c r="I153" s="226"/>
      <c r="J153" s="201"/>
      <c r="K153" s="228">
        <v>14186</v>
      </c>
      <c r="L153" s="228">
        <v>349</v>
      </c>
      <c r="M153" s="228">
        <v>0</v>
      </c>
      <c r="N153" s="202">
        <v>16536</v>
      </c>
      <c r="O153" s="202">
        <v>571</v>
      </c>
      <c r="P153" s="202">
        <v>0</v>
      </c>
      <c r="Q153" s="228"/>
      <c r="R153" s="201"/>
      <c r="S153" s="225">
        <f t="shared" si="12"/>
        <v>0</v>
      </c>
      <c r="T153" s="229">
        <f t="shared" si="13"/>
        <v>0</v>
      </c>
      <c r="U153" s="226"/>
      <c r="V153" s="201"/>
      <c r="W153" s="226"/>
      <c r="X153" s="201"/>
      <c r="Y153" s="228"/>
      <c r="Z153" s="228"/>
      <c r="AA153" s="228"/>
      <c r="AB153" s="202"/>
      <c r="AC153" s="202"/>
      <c r="AD153" s="202"/>
      <c r="AE153" s="228"/>
      <c r="AF153" s="240"/>
    </row>
    <row r="154" spans="1:32" s="203" customFormat="1">
      <c r="A154" s="330" t="s">
        <v>217</v>
      </c>
      <c r="B154" s="242" t="s">
        <v>344</v>
      </c>
      <c r="C154" s="330">
        <v>138840</v>
      </c>
      <c r="D154" s="330">
        <v>12</v>
      </c>
      <c r="E154" s="225">
        <f t="shared" si="10"/>
        <v>135196</v>
      </c>
      <c r="F154" s="229">
        <f t="shared" si="11"/>
        <v>137120</v>
      </c>
      <c r="G154" s="226">
        <v>116199</v>
      </c>
      <c r="H154" s="201">
        <v>111725</v>
      </c>
      <c r="I154" s="226"/>
      <c r="J154" s="201"/>
      <c r="K154" s="228">
        <v>18997</v>
      </c>
      <c r="L154" s="228">
        <v>0</v>
      </c>
      <c r="M154" s="228">
        <v>0</v>
      </c>
      <c r="N154" s="202">
        <v>25395</v>
      </c>
      <c r="O154" s="202">
        <v>0</v>
      </c>
      <c r="P154" s="202">
        <v>0</v>
      </c>
      <c r="Q154" s="228"/>
      <c r="R154" s="201"/>
      <c r="S154" s="225">
        <f t="shared" si="12"/>
        <v>0</v>
      </c>
      <c r="T154" s="229">
        <f t="shared" si="13"/>
        <v>0</v>
      </c>
      <c r="U154" s="226"/>
      <c r="V154" s="201"/>
      <c r="W154" s="226"/>
      <c r="X154" s="201"/>
      <c r="Y154" s="228"/>
      <c r="Z154" s="228"/>
      <c r="AA154" s="228"/>
      <c r="AB154" s="202"/>
      <c r="AC154" s="202"/>
      <c r="AD154" s="202"/>
      <c r="AE154" s="228"/>
      <c r="AF154" s="240"/>
    </row>
    <row r="155" spans="1:32" s="203" customFormat="1">
      <c r="A155" s="330" t="s">
        <v>217</v>
      </c>
      <c r="B155" s="242" t="s">
        <v>345</v>
      </c>
      <c r="C155" s="330">
        <v>138956</v>
      </c>
      <c r="D155" s="330">
        <v>12</v>
      </c>
      <c r="E155" s="225">
        <f t="shared" si="10"/>
        <v>169155</v>
      </c>
      <c r="F155" s="229">
        <f t="shared" si="11"/>
        <v>174483</v>
      </c>
      <c r="G155" s="226">
        <v>151451</v>
      </c>
      <c r="H155" s="201">
        <v>145346</v>
      </c>
      <c r="I155" s="226"/>
      <c r="J155" s="201"/>
      <c r="K155" s="228">
        <v>17704</v>
      </c>
      <c r="L155" s="228">
        <v>0</v>
      </c>
      <c r="M155" s="228">
        <v>0</v>
      </c>
      <c r="N155" s="202">
        <v>29137</v>
      </c>
      <c r="O155" s="202">
        <v>0</v>
      </c>
      <c r="P155" s="202">
        <v>0</v>
      </c>
      <c r="Q155" s="228"/>
      <c r="R155" s="201"/>
      <c r="S155" s="225">
        <f t="shared" si="12"/>
        <v>0</v>
      </c>
      <c r="T155" s="229">
        <f t="shared" si="13"/>
        <v>0</v>
      </c>
      <c r="U155" s="226"/>
      <c r="V155" s="201"/>
      <c r="W155" s="226"/>
      <c r="X155" s="201"/>
      <c r="Y155" s="228"/>
      <c r="Z155" s="228"/>
      <c r="AA155" s="228"/>
      <c r="AB155" s="202"/>
      <c r="AC155" s="202"/>
      <c r="AD155" s="202"/>
      <c r="AE155" s="228"/>
      <c r="AF155" s="240"/>
    </row>
    <row r="156" spans="1:32" s="203" customFormat="1">
      <c r="A156" s="330" t="s">
        <v>217</v>
      </c>
      <c r="B156" s="242" t="s">
        <v>346</v>
      </c>
      <c r="C156" s="330">
        <v>140304</v>
      </c>
      <c r="D156" s="330">
        <v>12</v>
      </c>
      <c r="E156" s="225">
        <f t="shared" si="10"/>
        <v>193917</v>
      </c>
      <c r="F156" s="229">
        <f t="shared" si="11"/>
        <v>198280</v>
      </c>
      <c r="G156" s="226">
        <v>133864</v>
      </c>
      <c r="H156" s="201">
        <v>134967</v>
      </c>
      <c r="I156" s="226"/>
      <c r="J156" s="201"/>
      <c r="K156" s="228">
        <v>60053</v>
      </c>
      <c r="L156" s="228">
        <v>0</v>
      </c>
      <c r="M156" s="228">
        <v>0</v>
      </c>
      <c r="N156" s="202">
        <v>63313</v>
      </c>
      <c r="O156" s="202">
        <v>0</v>
      </c>
      <c r="P156" s="202">
        <v>0</v>
      </c>
      <c r="Q156" s="228"/>
      <c r="R156" s="201"/>
      <c r="S156" s="225">
        <f t="shared" si="12"/>
        <v>0</v>
      </c>
      <c r="T156" s="229">
        <f t="shared" si="13"/>
        <v>0</v>
      </c>
      <c r="U156" s="226"/>
      <c r="V156" s="201"/>
      <c r="W156" s="226"/>
      <c r="X156" s="201"/>
      <c r="Y156" s="228"/>
      <c r="Z156" s="228"/>
      <c r="AA156" s="228"/>
      <c r="AB156" s="202"/>
      <c r="AC156" s="202"/>
      <c r="AD156" s="202"/>
      <c r="AE156" s="228"/>
      <c r="AF156" s="240"/>
    </row>
    <row r="157" spans="1:32" s="203" customFormat="1">
      <c r="A157" s="330" t="s">
        <v>217</v>
      </c>
      <c r="B157" s="242" t="s">
        <v>347</v>
      </c>
      <c r="C157" s="330">
        <v>140331</v>
      </c>
      <c r="D157" s="330">
        <v>12</v>
      </c>
      <c r="E157" s="225">
        <f t="shared" si="10"/>
        <v>198977</v>
      </c>
      <c r="F157" s="229">
        <f t="shared" si="11"/>
        <v>202083</v>
      </c>
      <c r="G157" s="226">
        <v>171771</v>
      </c>
      <c r="H157" s="201">
        <v>171654</v>
      </c>
      <c r="I157" s="226"/>
      <c r="J157" s="201"/>
      <c r="K157" s="228">
        <v>22506</v>
      </c>
      <c r="L157" s="228">
        <v>4700</v>
      </c>
      <c r="M157" s="228">
        <v>0</v>
      </c>
      <c r="N157" s="202">
        <v>25279</v>
      </c>
      <c r="O157" s="202">
        <v>5150</v>
      </c>
      <c r="P157" s="202">
        <v>0</v>
      </c>
      <c r="Q157" s="228"/>
      <c r="R157" s="201"/>
      <c r="S157" s="225">
        <f t="shared" si="12"/>
        <v>0</v>
      </c>
      <c r="T157" s="229">
        <f t="shared" si="13"/>
        <v>0</v>
      </c>
      <c r="U157" s="226"/>
      <c r="V157" s="201"/>
      <c r="W157" s="226"/>
      <c r="X157" s="201"/>
      <c r="Y157" s="228"/>
      <c r="Z157" s="228"/>
      <c r="AA157" s="228"/>
      <c r="AB157" s="202"/>
      <c r="AC157" s="202"/>
      <c r="AD157" s="202"/>
      <c r="AE157" s="228"/>
      <c r="AF157" s="240"/>
    </row>
    <row r="158" spans="1:32" s="203" customFormat="1">
      <c r="A158" s="330" t="s">
        <v>217</v>
      </c>
      <c r="B158" s="242" t="s">
        <v>348</v>
      </c>
      <c r="C158" s="330">
        <v>139357</v>
      </c>
      <c r="D158" s="330">
        <v>12</v>
      </c>
      <c r="E158" s="225">
        <f t="shared" si="10"/>
        <v>125980</v>
      </c>
      <c r="F158" s="229">
        <f t="shared" si="11"/>
        <v>132290</v>
      </c>
      <c r="G158" s="226">
        <v>111973</v>
      </c>
      <c r="H158" s="201">
        <v>110556</v>
      </c>
      <c r="I158" s="226"/>
      <c r="J158" s="201"/>
      <c r="K158" s="228">
        <v>14007</v>
      </c>
      <c r="L158" s="228">
        <v>0</v>
      </c>
      <c r="M158" s="228">
        <v>0</v>
      </c>
      <c r="N158" s="202">
        <v>21734</v>
      </c>
      <c r="O158" s="202">
        <v>0</v>
      </c>
      <c r="P158" s="202">
        <v>0</v>
      </c>
      <c r="Q158" s="228"/>
      <c r="R158" s="201"/>
      <c r="S158" s="225">
        <f t="shared" si="12"/>
        <v>0</v>
      </c>
      <c r="T158" s="229">
        <f t="shared" si="13"/>
        <v>0</v>
      </c>
      <c r="U158" s="226"/>
      <c r="V158" s="201"/>
      <c r="W158" s="226"/>
      <c r="X158" s="201"/>
      <c r="Y158" s="228"/>
      <c r="Z158" s="228"/>
      <c r="AA158" s="228"/>
      <c r="AB158" s="202"/>
      <c r="AC158" s="202"/>
      <c r="AD158" s="202"/>
      <c r="AE158" s="228"/>
      <c r="AF158" s="240"/>
    </row>
    <row r="159" spans="1:32" s="203" customFormat="1">
      <c r="A159" s="330" t="s">
        <v>217</v>
      </c>
      <c r="B159" s="242" t="s">
        <v>349</v>
      </c>
      <c r="C159" s="330">
        <v>139384</v>
      </c>
      <c r="D159" s="330">
        <v>12</v>
      </c>
      <c r="E159" s="225">
        <f t="shared" si="10"/>
        <v>98784</v>
      </c>
      <c r="F159" s="229">
        <f t="shared" si="11"/>
        <v>102199</v>
      </c>
      <c r="G159" s="226">
        <v>75373</v>
      </c>
      <c r="H159" s="201">
        <v>71928</v>
      </c>
      <c r="I159" s="226"/>
      <c r="J159" s="201"/>
      <c r="K159" s="228">
        <v>22298</v>
      </c>
      <c r="L159" s="228">
        <v>1051</v>
      </c>
      <c r="M159" s="228">
        <v>62</v>
      </c>
      <c r="N159" s="202">
        <v>29469</v>
      </c>
      <c r="O159" s="202">
        <v>741</v>
      </c>
      <c r="P159" s="202">
        <v>61</v>
      </c>
      <c r="Q159" s="228"/>
      <c r="R159" s="201"/>
      <c r="S159" s="225">
        <f t="shared" si="12"/>
        <v>0</v>
      </c>
      <c r="T159" s="229">
        <f t="shared" si="13"/>
        <v>0</v>
      </c>
      <c r="U159" s="226"/>
      <c r="V159" s="201"/>
      <c r="W159" s="226"/>
      <c r="X159" s="201"/>
      <c r="Y159" s="228"/>
      <c r="Z159" s="228"/>
      <c r="AA159" s="228"/>
      <c r="AB159" s="202"/>
      <c r="AC159" s="202"/>
      <c r="AD159" s="202"/>
      <c r="AE159" s="228"/>
      <c r="AF159" s="240"/>
    </row>
    <row r="160" spans="1:32" s="203" customFormat="1">
      <c r="A160" s="330" t="s">
        <v>217</v>
      </c>
      <c r="B160" s="242" t="s">
        <v>350</v>
      </c>
      <c r="C160" s="330">
        <v>244446</v>
      </c>
      <c r="D160" s="330">
        <v>12</v>
      </c>
      <c r="E160" s="225">
        <f t="shared" si="10"/>
        <v>138839.5</v>
      </c>
      <c r="F160" s="229">
        <f t="shared" si="11"/>
        <v>144137</v>
      </c>
      <c r="G160" s="226">
        <v>96281.5</v>
      </c>
      <c r="H160" s="201">
        <v>97352</v>
      </c>
      <c r="I160" s="226"/>
      <c r="J160" s="201"/>
      <c r="K160" s="228">
        <v>42273</v>
      </c>
      <c r="L160" s="228">
        <v>285</v>
      </c>
      <c r="M160" s="228">
        <v>0</v>
      </c>
      <c r="N160" s="202">
        <v>46290</v>
      </c>
      <c r="O160" s="202">
        <v>495</v>
      </c>
      <c r="P160" s="202">
        <v>0</v>
      </c>
      <c r="Q160" s="228"/>
      <c r="R160" s="201"/>
      <c r="S160" s="225">
        <f t="shared" si="12"/>
        <v>0</v>
      </c>
      <c r="T160" s="229">
        <f t="shared" si="13"/>
        <v>0</v>
      </c>
      <c r="U160" s="226"/>
      <c r="V160" s="201"/>
      <c r="W160" s="226"/>
      <c r="X160" s="201"/>
      <c r="Y160" s="228"/>
      <c r="Z160" s="228"/>
      <c r="AA160" s="228"/>
      <c r="AB160" s="202"/>
      <c r="AC160" s="202"/>
      <c r="AD160" s="202"/>
      <c r="AE160" s="228"/>
      <c r="AF160" s="240"/>
    </row>
    <row r="161" spans="1:32" s="203" customFormat="1">
      <c r="A161" s="330" t="s">
        <v>217</v>
      </c>
      <c r="B161" s="352" t="s">
        <v>351</v>
      </c>
      <c r="C161" s="353">
        <v>139126</v>
      </c>
      <c r="D161" s="330">
        <v>12</v>
      </c>
      <c r="E161" s="225">
        <f t="shared" si="10"/>
        <v>47357</v>
      </c>
      <c r="F161" s="229">
        <f t="shared" si="11"/>
        <v>50514</v>
      </c>
      <c r="G161" s="226">
        <v>42176</v>
      </c>
      <c r="H161" s="201">
        <v>43318</v>
      </c>
      <c r="I161" s="226"/>
      <c r="J161" s="201"/>
      <c r="K161" s="228">
        <v>5181</v>
      </c>
      <c r="L161" s="228">
        <v>0</v>
      </c>
      <c r="M161" s="228">
        <v>0</v>
      </c>
      <c r="N161" s="202">
        <v>7196</v>
      </c>
      <c r="O161" s="202">
        <v>0</v>
      </c>
      <c r="P161" s="202">
        <v>0</v>
      </c>
      <c r="Q161" s="228"/>
      <c r="R161" s="201"/>
      <c r="S161" s="225">
        <f t="shared" si="12"/>
        <v>0</v>
      </c>
      <c r="T161" s="229">
        <f t="shared" si="13"/>
        <v>0</v>
      </c>
      <c r="U161" s="226"/>
      <c r="V161" s="201"/>
      <c r="W161" s="226"/>
      <c r="X161" s="201"/>
      <c r="Y161" s="228"/>
      <c r="Z161" s="228"/>
      <c r="AA161" s="228"/>
      <c r="AB161" s="202"/>
      <c r="AC161" s="202"/>
      <c r="AD161" s="202"/>
      <c r="AE161" s="228"/>
      <c r="AF161" s="240"/>
    </row>
    <row r="162" spans="1:32" s="203" customFormat="1">
      <c r="A162" s="330" t="s">
        <v>217</v>
      </c>
      <c r="B162" s="242" t="s">
        <v>352</v>
      </c>
      <c r="C162" s="330">
        <v>139986</v>
      </c>
      <c r="D162" s="330">
        <v>12</v>
      </c>
      <c r="E162" s="225">
        <f t="shared" si="10"/>
        <v>140368</v>
      </c>
      <c r="F162" s="229">
        <f t="shared" si="11"/>
        <v>156133</v>
      </c>
      <c r="G162" s="226">
        <v>101967</v>
      </c>
      <c r="H162" s="201">
        <v>102015</v>
      </c>
      <c r="I162" s="226"/>
      <c r="J162" s="201"/>
      <c r="K162" s="228">
        <v>38401</v>
      </c>
      <c r="L162" s="228">
        <v>0</v>
      </c>
      <c r="M162" s="228">
        <v>0</v>
      </c>
      <c r="N162" s="202">
        <v>54118</v>
      </c>
      <c r="O162" s="202">
        <v>0</v>
      </c>
      <c r="P162" s="202">
        <v>0</v>
      </c>
      <c r="Q162" s="228"/>
      <c r="R162" s="201"/>
      <c r="S162" s="225">
        <f t="shared" si="12"/>
        <v>0</v>
      </c>
      <c r="T162" s="229">
        <f t="shared" si="13"/>
        <v>0</v>
      </c>
      <c r="U162" s="226"/>
      <c r="V162" s="201"/>
      <c r="W162" s="226"/>
      <c r="X162" s="201"/>
      <c r="Y162" s="228"/>
      <c r="Z162" s="228"/>
      <c r="AA162" s="228"/>
      <c r="AB162" s="202"/>
      <c r="AC162" s="202"/>
      <c r="AD162" s="202"/>
      <c r="AE162" s="228"/>
      <c r="AF162" s="240"/>
    </row>
    <row r="163" spans="1:32" s="203" customFormat="1">
      <c r="A163" s="330" t="s">
        <v>217</v>
      </c>
      <c r="B163" s="242" t="s">
        <v>353</v>
      </c>
      <c r="C163" s="330">
        <v>140012</v>
      </c>
      <c r="D163" s="330">
        <v>12</v>
      </c>
      <c r="E163" s="225">
        <f t="shared" si="10"/>
        <v>167285</v>
      </c>
      <c r="F163" s="229">
        <f t="shared" si="11"/>
        <v>193854</v>
      </c>
      <c r="G163" s="226">
        <v>87403</v>
      </c>
      <c r="H163" s="201">
        <v>97734</v>
      </c>
      <c r="I163" s="226"/>
      <c r="J163" s="201"/>
      <c r="K163" s="228">
        <v>79882</v>
      </c>
      <c r="L163" s="228">
        <v>0</v>
      </c>
      <c r="M163" s="228">
        <v>0</v>
      </c>
      <c r="N163" s="202">
        <v>96120</v>
      </c>
      <c r="O163" s="202">
        <v>0</v>
      </c>
      <c r="P163" s="202">
        <v>0</v>
      </c>
      <c r="Q163" s="228"/>
      <c r="R163" s="201"/>
      <c r="S163" s="225">
        <f t="shared" si="12"/>
        <v>0</v>
      </c>
      <c r="T163" s="229">
        <f t="shared" si="13"/>
        <v>0</v>
      </c>
      <c r="U163" s="226"/>
      <c r="V163" s="201"/>
      <c r="W163" s="226"/>
      <c r="X163" s="201"/>
      <c r="Y163" s="228"/>
      <c r="Z163" s="228"/>
      <c r="AA163" s="228"/>
      <c r="AB163" s="202"/>
      <c r="AC163" s="202"/>
      <c r="AD163" s="202"/>
      <c r="AE163" s="228"/>
      <c r="AF163" s="240"/>
    </row>
    <row r="164" spans="1:32" s="203" customFormat="1">
      <c r="A164" s="330" t="s">
        <v>217</v>
      </c>
      <c r="B164" s="242" t="s">
        <v>354</v>
      </c>
      <c r="C164" s="330">
        <v>140076</v>
      </c>
      <c r="D164" s="330">
        <v>12</v>
      </c>
      <c r="E164" s="225">
        <f t="shared" si="10"/>
        <v>52270</v>
      </c>
      <c r="F164" s="229">
        <f t="shared" si="11"/>
        <v>50026</v>
      </c>
      <c r="G164" s="226">
        <v>47942</v>
      </c>
      <c r="H164" s="201">
        <v>41800</v>
      </c>
      <c r="I164" s="226"/>
      <c r="J164" s="201"/>
      <c r="K164" s="228">
        <v>4328</v>
      </c>
      <c r="L164" s="228">
        <v>0</v>
      </c>
      <c r="M164" s="228">
        <v>0</v>
      </c>
      <c r="N164" s="202">
        <v>7383</v>
      </c>
      <c r="O164" s="202">
        <v>843</v>
      </c>
      <c r="P164" s="202">
        <v>0</v>
      </c>
      <c r="Q164" s="228"/>
      <c r="R164" s="201"/>
      <c r="S164" s="225">
        <f t="shared" si="12"/>
        <v>0</v>
      </c>
      <c r="T164" s="229">
        <f t="shared" si="13"/>
        <v>0</v>
      </c>
      <c r="U164" s="226"/>
      <c r="V164" s="201"/>
      <c r="W164" s="226"/>
      <c r="X164" s="201"/>
      <c r="Y164" s="228"/>
      <c r="Z164" s="228"/>
      <c r="AA164" s="228"/>
      <c r="AB164" s="202"/>
      <c r="AC164" s="202"/>
      <c r="AD164" s="202"/>
      <c r="AE164" s="228"/>
      <c r="AF164" s="240"/>
    </row>
    <row r="165" spans="1:32" s="203" customFormat="1">
      <c r="A165" s="330" t="s">
        <v>217</v>
      </c>
      <c r="B165" s="242" t="s">
        <v>355</v>
      </c>
      <c r="C165" s="330">
        <v>140243</v>
      </c>
      <c r="D165" s="354">
        <v>12</v>
      </c>
      <c r="E165" s="225">
        <f t="shared" si="10"/>
        <v>113293</v>
      </c>
      <c r="F165" s="229">
        <f t="shared" si="11"/>
        <v>113750.5</v>
      </c>
      <c r="G165" s="226">
        <v>58783</v>
      </c>
      <c r="H165" s="201">
        <v>49986.5</v>
      </c>
      <c r="I165" s="226"/>
      <c r="J165" s="201"/>
      <c r="K165" s="228">
        <v>54510</v>
      </c>
      <c r="L165" s="228">
        <v>0</v>
      </c>
      <c r="M165" s="228">
        <v>0</v>
      </c>
      <c r="N165" s="202">
        <v>63764</v>
      </c>
      <c r="O165" s="202">
        <v>0</v>
      </c>
      <c r="P165" s="202">
        <v>0</v>
      </c>
      <c r="Q165" s="228"/>
      <c r="R165" s="201"/>
      <c r="S165" s="225">
        <f t="shared" si="12"/>
        <v>0</v>
      </c>
      <c r="T165" s="229">
        <f t="shared" si="13"/>
        <v>0</v>
      </c>
      <c r="U165" s="226"/>
      <c r="V165" s="201"/>
      <c r="W165" s="226"/>
      <c r="X165" s="201"/>
      <c r="Y165" s="228"/>
      <c r="Z165" s="228"/>
      <c r="AA165" s="228"/>
      <c r="AB165" s="202"/>
      <c r="AC165" s="202"/>
      <c r="AD165" s="202"/>
      <c r="AE165" s="228"/>
      <c r="AF165" s="240"/>
    </row>
    <row r="166" spans="1:32" s="203" customFormat="1">
      <c r="A166" s="330" t="s">
        <v>217</v>
      </c>
      <c r="B166" s="242" t="s">
        <v>356</v>
      </c>
      <c r="C166" s="330">
        <v>140085</v>
      </c>
      <c r="D166" s="330">
        <v>12</v>
      </c>
      <c r="E166" s="225">
        <f t="shared" si="10"/>
        <v>110890</v>
      </c>
      <c r="F166" s="229">
        <f t="shared" si="11"/>
        <v>113628</v>
      </c>
      <c r="G166" s="226">
        <v>89247</v>
      </c>
      <c r="H166" s="201">
        <v>89125</v>
      </c>
      <c r="I166" s="226"/>
      <c r="J166" s="201"/>
      <c r="K166" s="228">
        <v>21643</v>
      </c>
      <c r="L166" s="228">
        <v>0</v>
      </c>
      <c r="M166" s="228">
        <v>0</v>
      </c>
      <c r="N166" s="202">
        <v>24503</v>
      </c>
      <c r="O166" s="202">
        <v>0</v>
      </c>
      <c r="P166" s="202">
        <v>0</v>
      </c>
      <c r="Q166" s="228"/>
      <c r="R166" s="201"/>
      <c r="S166" s="225">
        <f t="shared" si="12"/>
        <v>0</v>
      </c>
      <c r="T166" s="229">
        <f t="shared" si="13"/>
        <v>0</v>
      </c>
      <c r="U166" s="226"/>
      <c r="V166" s="201"/>
      <c r="W166" s="226"/>
      <c r="X166" s="201"/>
      <c r="Y166" s="228"/>
      <c r="Z166" s="228"/>
      <c r="AA166" s="228"/>
      <c r="AB166" s="202"/>
      <c r="AC166" s="202"/>
      <c r="AD166" s="202"/>
      <c r="AE166" s="228"/>
      <c r="AF166" s="240"/>
    </row>
    <row r="167" spans="1:32" s="203" customFormat="1">
      <c r="A167" s="330" t="s">
        <v>217</v>
      </c>
      <c r="B167" s="242" t="s">
        <v>357</v>
      </c>
      <c r="C167" s="330">
        <v>140599</v>
      </c>
      <c r="D167" s="330">
        <v>12</v>
      </c>
      <c r="E167" s="225">
        <f t="shared" si="10"/>
        <v>79995</v>
      </c>
      <c r="F167" s="229">
        <f t="shared" si="11"/>
        <v>81789</v>
      </c>
      <c r="G167" s="226">
        <v>67651</v>
      </c>
      <c r="H167" s="201">
        <v>68485</v>
      </c>
      <c r="I167" s="226"/>
      <c r="J167" s="201"/>
      <c r="K167" s="228">
        <v>12344</v>
      </c>
      <c r="L167" s="228">
        <v>0</v>
      </c>
      <c r="M167" s="228">
        <v>0</v>
      </c>
      <c r="N167" s="202">
        <v>13304</v>
      </c>
      <c r="O167" s="202">
        <v>0</v>
      </c>
      <c r="P167" s="202">
        <v>0</v>
      </c>
      <c r="Q167" s="228"/>
      <c r="R167" s="201"/>
      <c r="S167" s="225">
        <f t="shared" si="12"/>
        <v>0</v>
      </c>
      <c r="T167" s="229">
        <f t="shared" si="13"/>
        <v>0</v>
      </c>
      <c r="U167" s="226"/>
      <c r="V167" s="201"/>
      <c r="W167" s="226"/>
      <c r="X167" s="201"/>
      <c r="Y167" s="228"/>
      <c r="Z167" s="228"/>
      <c r="AA167" s="228"/>
      <c r="AB167" s="202"/>
      <c r="AC167" s="202"/>
      <c r="AD167" s="202"/>
      <c r="AE167" s="228"/>
      <c r="AF167" s="240"/>
    </row>
    <row r="168" spans="1:32" s="203" customFormat="1">
      <c r="A168" s="330" t="s">
        <v>217</v>
      </c>
      <c r="B168" s="242" t="s">
        <v>358</v>
      </c>
      <c r="C168" s="330">
        <v>140678</v>
      </c>
      <c r="D168" s="330">
        <v>12</v>
      </c>
      <c r="E168" s="225">
        <f t="shared" si="10"/>
        <v>85373</v>
      </c>
      <c r="F168" s="229">
        <f t="shared" si="11"/>
        <v>87447</v>
      </c>
      <c r="G168" s="226">
        <v>68412</v>
      </c>
      <c r="H168" s="201">
        <v>60047</v>
      </c>
      <c r="I168" s="226"/>
      <c r="J168" s="201"/>
      <c r="K168" s="228">
        <v>15635</v>
      </c>
      <c r="L168" s="228">
        <v>1326</v>
      </c>
      <c r="M168" s="228">
        <v>0</v>
      </c>
      <c r="N168" s="202">
        <v>24928</v>
      </c>
      <c r="O168" s="202">
        <v>2472</v>
      </c>
      <c r="P168" s="202">
        <v>0</v>
      </c>
      <c r="Q168" s="228"/>
      <c r="R168" s="201"/>
      <c r="S168" s="225">
        <f t="shared" si="12"/>
        <v>0</v>
      </c>
      <c r="T168" s="229">
        <f t="shared" si="13"/>
        <v>0</v>
      </c>
      <c r="U168" s="226"/>
      <c r="V168" s="201"/>
      <c r="W168" s="226"/>
      <c r="X168" s="201"/>
      <c r="Y168" s="228"/>
      <c r="Z168" s="228"/>
      <c r="AA168" s="228"/>
      <c r="AB168" s="202"/>
      <c r="AC168" s="202"/>
      <c r="AD168" s="202"/>
      <c r="AE168" s="228"/>
      <c r="AF168" s="240"/>
    </row>
    <row r="169" spans="1:32" s="203" customFormat="1">
      <c r="A169" s="330" t="s">
        <v>217</v>
      </c>
      <c r="B169" s="352" t="s">
        <v>359</v>
      </c>
      <c r="C169" s="353">
        <v>366456</v>
      </c>
      <c r="D169" s="330">
        <v>12</v>
      </c>
      <c r="E169" s="225">
        <f t="shared" si="10"/>
        <v>73598</v>
      </c>
      <c r="F169" s="229">
        <f t="shared" si="11"/>
        <v>85872</v>
      </c>
      <c r="G169" s="226">
        <v>57105</v>
      </c>
      <c r="H169" s="201">
        <v>63196</v>
      </c>
      <c r="I169" s="226"/>
      <c r="J169" s="201"/>
      <c r="K169" s="228">
        <v>16493</v>
      </c>
      <c r="L169" s="228">
        <v>0</v>
      </c>
      <c r="M169" s="228">
        <v>0</v>
      </c>
      <c r="N169" s="202">
        <v>22676</v>
      </c>
      <c r="O169" s="202">
        <v>0</v>
      </c>
      <c r="P169" s="202">
        <v>0</v>
      </c>
      <c r="Q169" s="228"/>
      <c r="R169" s="201"/>
      <c r="S169" s="225">
        <f t="shared" si="12"/>
        <v>0</v>
      </c>
      <c r="T169" s="229">
        <f t="shared" si="13"/>
        <v>0</v>
      </c>
      <c r="U169" s="226"/>
      <c r="V169" s="201"/>
      <c r="W169" s="226"/>
      <c r="X169" s="201"/>
      <c r="Y169" s="228"/>
      <c r="Z169" s="228"/>
      <c r="AA169" s="228"/>
      <c r="AB169" s="202"/>
      <c r="AC169" s="202"/>
      <c r="AD169" s="202"/>
      <c r="AE169" s="228"/>
      <c r="AF169" s="240"/>
    </row>
    <row r="170" spans="1:32" s="203" customFormat="1">
      <c r="A170" s="330" t="s">
        <v>217</v>
      </c>
      <c r="B170" s="242" t="s">
        <v>360</v>
      </c>
      <c r="C170" s="330">
        <v>141273</v>
      </c>
      <c r="D170" s="330">
        <v>12</v>
      </c>
      <c r="E170" s="225">
        <f t="shared" si="10"/>
        <v>81975</v>
      </c>
      <c r="F170" s="229">
        <f t="shared" si="11"/>
        <v>86543</v>
      </c>
      <c r="G170" s="226">
        <v>56786</v>
      </c>
      <c r="H170" s="201">
        <v>51904</v>
      </c>
      <c r="I170" s="226"/>
      <c r="J170" s="201"/>
      <c r="K170" s="228">
        <v>25189</v>
      </c>
      <c r="L170" s="228">
        <v>0</v>
      </c>
      <c r="M170" s="228">
        <v>0</v>
      </c>
      <c r="N170" s="202">
        <v>34639</v>
      </c>
      <c r="O170" s="202">
        <v>0</v>
      </c>
      <c r="P170" s="202">
        <v>0</v>
      </c>
      <c r="Q170" s="228"/>
      <c r="R170" s="201"/>
      <c r="S170" s="225">
        <f t="shared" si="12"/>
        <v>0</v>
      </c>
      <c r="T170" s="229">
        <f t="shared" si="13"/>
        <v>0</v>
      </c>
      <c r="U170" s="226"/>
      <c r="V170" s="201"/>
      <c r="W170" s="226"/>
      <c r="X170" s="201"/>
      <c r="Y170" s="228"/>
      <c r="Z170" s="228"/>
      <c r="AA170" s="228"/>
      <c r="AB170" s="202"/>
      <c r="AC170" s="202"/>
      <c r="AD170" s="202"/>
      <c r="AE170" s="228"/>
      <c r="AF170" s="240"/>
    </row>
    <row r="171" spans="1:32" s="203" customFormat="1">
      <c r="A171" s="330" t="s">
        <v>217</v>
      </c>
      <c r="B171" s="352" t="s">
        <v>361</v>
      </c>
      <c r="C171" s="353">
        <v>366465</v>
      </c>
      <c r="D171" s="330">
        <v>12</v>
      </c>
      <c r="E171" s="225">
        <f t="shared" si="10"/>
        <v>73863</v>
      </c>
      <c r="F171" s="229">
        <f t="shared" si="11"/>
        <v>71637</v>
      </c>
      <c r="G171" s="226">
        <v>49844</v>
      </c>
      <c r="H171" s="201">
        <v>38398</v>
      </c>
      <c r="I171" s="226"/>
      <c r="J171" s="201"/>
      <c r="K171" s="228">
        <v>24019</v>
      </c>
      <c r="L171" s="228">
        <v>0</v>
      </c>
      <c r="M171" s="228">
        <v>0</v>
      </c>
      <c r="N171" s="202">
        <v>33239</v>
      </c>
      <c r="O171" s="202">
        <v>0</v>
      </c>
      <c r="P171" s="202">
        <v>0</v>
      </c>
      <c r="Q171" s="228"/>
      <c r="R171" s="201"/>
      <c r="S171" s="225">
        <f t="shared" si="12"/>
        <v>0</v>
      </c>
      <c r="T171" s="229">
        <f t="shared" si="13"/>
        <v>0</v>
      </c>
      <c r="U171" s="226"/>
      <c r="V171" s="201"/>
      <c r="W171" s="226"/>
      <c r="X171" s="201"/>
      <c r="Y171" s="228"/>
      <c r="Z171" s="228"/>
      <c r="AA171" s="228"/>
      <c r="AB171" s="202"/>
      <c r="AC171" s="202"/>
      <c r="AD171" s="202"/>
      <c r="AE171" s="228"/>
      <c r="AF171" s="240"/>
    </row>
    <row r="172" spans="1:32" s="203" customFormat="1">
      <c r="A172" s="330" t="s">
        <v>217</v>
      </c>
      <c r="B172" s="242" t="s">
        <v>362</v>
      </c>
      <c r="C172" s="330">
        <v>248776</v>
      </c>
      <c r="D172" s="330">
        <v>12</v>
      </c>
      <c r="E172" s="225">
        <f t="shared" si="10"/>
        <v>51949</v>
      </c>
      <c r="F172" s="229">
        <f t="shared" si="11"/>
        <v>50525</v>
      </c>
      <c r="G172" s="226">
        <v>43337</v>
      </c>
      <c r="H172" s="201">
        <v>43217</v>
      </c>
      <c r="I172" s="226"/>
      <c r="J172" s="201"/>
      <c r="K172" s="228">
        <v>8612</v>
      </c>
      <c r="L172" s="228">
        <v>0</v>
      </c>
      <c r="M172" s="228">
        <v>0</v>
      </c>
      <c r="N172" s="202">
        <v>7308</v>
      </c>
      <c r="O172" s="202">
        <v>0</v>
      </c>
      <c r="P172" s="202">
        <v>0</v>
      </c>
      <c r="Q172" s="228"/>
      <c r="R172" s="201"/>
      <c r="S172" s="225">
        <f t="shared" si="12"/>
        <v>0</v>
      </c>
      <c r="T172" s="229">
        <f t="shared" si="13"/>
        <v>0</v>
      </c>
      <c r="U172" s="226"/>
      <c r="V172" s="201"/>
      <c r="W172" s="226"/>
      <c r="X172" s="201"/>
      <c r="Y172" s="228"/>
      <c r="Z172" s="228"/>
      <c r="AA172" s="228"/>
      <c r="AB172" s="202"/>
      <c r="AC172" s="202"/>
      <c r="AD172" s="202"/>
      <c r="AE172" s="228"/>
      <c r="AF172" s="240"/>
    </row>
    <row r="173" spans="1:32" s="203" customFormat="1">
      <c r="A173" s="330" t="s">
        <v>217</v>
      </c>
      <c r="B173" s="242" t="s">
        <v>363</v>
      </c>
      <c r="C173" s="330">
        <v>140942</v>
      </c>
      <c r="D173" s="330">
        <v>12</v>
      </c>
      <c r="E173" s="225">
        <f t="shared" si="10"/>
        <v>153719</v>
      </c>
      <c r="F173" s="229">
        <f t="shared" si="11"/>
        <v>168980</v>
      </c>
      <c r="G173" s="226">
        <v>125648</v>
      </c>
      <c r="H173" s="201">
        <v>131961</v>
      </c>
      <c r="I173" s="226"/>
      <c r="J173" s="201"/>
      <c r="K173" s="228">
        <v>28071</v>
      </c>
      <c r="L173" s="228">
        <v>0</v>
      </c>
      <c r="M173" s="228">
        <v>0</v>
      </c>
      <c r="N173" s="202">
        <v>37019</v>
      </c>
      <c r="O173" s="202">
        <v>0</v>
      </c>
      <c r="P173" s="202">
        <v>0</v>
      </c>
      <c r="Q173" s="228"/>
      <c r="R173" s="201"/>
      <c r="S173" s="225">
        <f t="shared" si="12"/>
        <v>0</v>
      </c>
      <c r="T173" s="229">
        <f t="shared" si="13"/>
        <v>0</v>
      </c>
      <c r="U173" s="226"/>
      <c r="V173" s="201"/>
      <c r="W173" s="226"/>
      <c r="X173" s="201"/>
      <c r="Y173" s="228"/>
      <c r="Z173" s="228"/>
      <c r="AA173" s="228"/>
      <c r="AB173" s="202"/>
      <c r="AC173" s="202"/>
      <c r="AD173" s="202"/>
      <c r="AE173" s="228"/>
      <c r="AF173" s="240"/>
    </row>
    <row r="174" spans="1:32" s="203" customFormat="1">
      <c r="A174" s="330" t="s">
        <v>217</v>
      </c>
      <c r="B174" s="242" t="s">
        <v>364</v>
      </c>
      <c r="C174" s="330">
        <v>141006</v>
      </c>
      <c r="D174" s="330">
        <v>12</v>
      </c>
      <c r="E174" s="225">
        <f t="shared" si="10"/>
        <v>75814</v>
      </c>
      <c r="F174" s="229">
        <f t="shared" si="11"/>
        <v>79309</v>
      </c>
      <c r="G174" s="226">
        <v>66524</v>
      </c>
      <c r="H174" s="201">
        <v>70192</v>
      </c>
      <c r="I174" s="226"/>
      <c r="J174" s="201"/>
      <c r="K174" s="228">
        <v>9290</v>
      </c>
      <c r="L174" s="228">
        <v>0</v>
      </c>
      <c r="M174" s="228">
        <v>0</v>
      </c>
      <c r="N174" s="202">
        <v>9117</v>
      </c>
      <c r="O174" s="202">
        <v>0</v>
      </c>
      <c r="P174" s="202">
        <v>0</v>
      </c>
      <c r="Q174" s="228"/>
      <c r="R174" s="201"/>
      <c r="S174" s="225">
        <f t="shared" si="12"/>
        <v>0</v>
      </c>
      <c r="T174" s="229">
        <f t="shared" si="13"/>
        <v>0</v>
      </c>
      <c r="U174" s="226"/>
      <c r="V174" s="201"/>
      <c r="W174" s="226"/>
      <c r="X174" s="201"/>
      <c r="Y174" s="228"/>
      <c r="Z174" s="228"/>
      <c r="AA174" s="228"/>
      <c r="AB174" s="202"/>
      <c r="AC174" s="202"/>
      <c r="AD174" s="202"/>
      <c r="AE174" s="228"/>
      <c r="AF174" s="240"/>
    </row>
    <row r="175" spans="1:32" s="203" customFormat="1">
      <c r="A175" s="330" t="s">
        <v>217</v>
      </c>
      <c r="B175" s="242" t="s">
        <v>365</v>
      </c>
      <c r="C175" s="330">
        <v>141158</v>
      </c>
      <c r="D175" s="330">
        <v>12</v>
      </c>
      <c r="E175" s="225">
        <f t="shared" si="10"/>
        <v>46840.3</v>
      </c>
      <c r="F175" s="229">
        <f t="shared" si="11"/>
        <v>47673.8</v>
      </c>
      <c r="G175" s="226">
        <v>33972.300000000003</v>
      </c>
      <c r="H175" s="201">
        <v>34448.800000000003</v>
      </c>
      <c r="I175" s="226"/>
      <c r="J175" s="201"/>
      <c r="K175" s="228">
        <v>12868</v>
      </c>
      <c r="L175" s="228">
        <v>0</v>
      </c>
      <c r="M175" s="228">
        <v>0</v>
      </c>
      <c r="N175" s="202">
        <v>13225</v>
      </c>
      <c r="O175" s="202">
        <v>0</v>
      </c>
      <c r="P175" s="202">
        <v>0</v>
      </c>
      <c r="Q175" s="228"/>
      <c r="R175" s="201"/>
      <c r="S175" s="225">
        <f t="shared" si="12"/>
        <v>0</v>
      </c>
      <c r="T175" s="229">
        <f t="shared" si="13"/>
        <v>0</v>
      </c>
      <c r="U175" s="226"/>
      <c r="V175" s="201"/>
      <c r="W175" s="226"/>
      <c r="X175" s="201"/>
      <c r="Y175" s="228"/>
      <c r="Z175" s="228"/>
      <c r="AA175" s="228"/>
      <c r="AB175" s="202"/>
      <c r="AC175" s="202"/>
      <c r="AD175" s="202"/>
      <c r="AE175" s="228"/>
      <c r="AF175" s="240"/>
    </row>
    <row r="176" spans="1:32" s="203" customFormat="1">
      <c r="A176" s="330" t="s">
        <v>217</v>
      </c>
      <c r="B176" s="242" t="s">
        <v>366</v>
      </c>
      <c r="C176" s="330">
        <v>141255</v>
      </c>
      <c r="D176" s="330">
        <v>12</v>
      </c>
      <c r="E176" s="225">
        <f t="shared" si="10"/>
        <v>88163</v>
      </c>
      <c r="F176" s="229">
        <f t="shared" si="11"/>
        <v>92048</v>
      </c>
      <c r="G176" s="226">
        <v>78950</v>
      </c>
      <c r="H176" s="201">
        <v>80094</v>
      </c>
      <c r="I176" s="226"/>
      <c r="J176" s="201"/>
      <c r="K176" s="228">
        <v>9213</v>
      </c>
      <c r="L176" s="228">
        <v>0</v>
      </c>
      <c r="M176" s="228">
        <v>0</v>
      </c>
      <c r="N176" s="202">
        <v>11954</v>
      </c>
      <c r="O176" s="202">
        <v>0</v>
      </c>
      <c r="P176" s="202">
        <v>0</v>
      </c>
      <c r="Q176" s="228"/>
      <c r="R176" s="201"/>
      <c r="S176" s="225">
        <f t="shared" si="12"/>
        <v>0</v>
      </c>
      <c r="T176" s="229">
        <f t="shared" si="13"/>
        <v>0</v>
      </c>
      <c r="U176" s="226"/>
      <c r="V176" s="201"/>
      <c r="W176" s="226"/>
      <c r="X176" s="201"/>
      <c r="Y176" s="228"/>
      <c r="Z176" s="228"/>
      <c r="AA176" s="228"/>
      <c r="AB176" s="202"/>
      <c r="AC176" s="202"/>
      <c r="AD176" s="202"/>
      <c r="AE176" s="228"/>
      <c r="AF176" s="240"/>
    </row>
    <row r="177" spans="1:32" s="203" customFormat="1">
      <c r="A177" s="330" t="s">
        <v>217</v>
      </c>
      <c r="B177" s="242" t="s">
        <v>367</v>
      </c>
      <c r="C177" s="330">
        <v>139278</v>
      </c>
      <c r="D177" s="330">
        <v>12</v>
      </c>
      <c r="E177" s="225">
        <f t="shared" si="10"/>
        <v>107106</v>
      </c>
      <c r="F177" s="229">
        <f t="shared" si="11"/>
        <v>125335</v>
      </c>
      <c r="G177" s="226">
        <v>96802</v>
      </c>
      <c r="H177" s="201">
        <v>111077</v>
      </c>
      <c r="I177" s="226"/>
      <c r="J177" s="201"/>
      <c r="K177" s="228">
        <v>10304</v>
      </c>
      <c r="L177" s="228">
        <v>0</v>
      </c>
      <c r="M177" s="228">
        <v>0</v>
      </c>
      <c r="N177" s="202">
        <v>14258</v>
      </c>
      <c r="O177" s="202">
        <v>0</v>
      </c>
      <c r="P177" s="202">
        <v>0</v>
      </c>
      <c r="Q177" s="228"/>
      <c r="R177" s="201"/>
      <c r="S177" s="225">
        <f t="shared" si="12"/>
        <v>0</v>
      </c>
      <c r="T177" s="229">
        <f t="shared" si="13"/>
        <v>0</v>
      </c>
      <c r="U177" s="226"/>
      <c r="V177" s="201"/>
      <c r="W177" s="226"/>
      <c r="X177" s="201"/>
      <c r="Y177" s="228"/>
      <c r="Z177" s="228"/>
      <c r="AA177" s="228"/>
      <c r="AB177" s="202"/>
      <c r="AC177" s="202"/>
      <c r="AD177" s="202"/>
      <c r="AE177" s="228"/>
      <c r="AF177" s="240"/>
    </row>
    <row r="178" spans="1:32" s="203" customFormat="1">
      <c r="A178" s="330" t="s">
        <v>217</v>
      </c>
      <c r="B178" s="242" t="s">
        <v>368</v>
      </c>
      <c r="C178" s="330">
        <v>141228</v>
      </c>
      <c r="D178" s="330">
        <v>12</v>
      </c>
      <c r="E178" s="225">
        <f t="shared" si="10"/>
        <v>63753.5</v>
      </c>
      <c r="F178" s="229">
        <f t="shared" si="11"/>
        <v>62953</v>
      </c>
      <c r="G178" s="226">
        <v>51471.5</v>
      </c>
      <c r="H178" s="201">
        <v>48536</v>
      </c>
      <c r="I178" s="226"/>
      <c r="J178" s="201"/>
      <c r="K178" s="228">
        <v>12282</v>
      </c>
      <c r="L178" s="228">
        <v>0</v>
      </c>
      <c r="M178" s="228">
        <v>0</v>
      </c>
      <c r="N178" s="202">
        <v>14417</v>
      </c>
      <c r="O178" s="202">
        <v>0</v>
      </c>
      <c r="P178" s="202">
        <v>0</v>
      </c>
      <c r="Q178" s="228"/>
      <c r="R178" s="201"/>
      <c r="S178" s="225">
        <f t="shared" si="12"/>
        <v>0</v>
      </c>
      <c r="T178" s="229">
        <f t="shared" si="13"/>
        <v>0</v>
      </c>
      <c r="U178" s="226"/>
      <c r="V178" s="201"/>
      <c r="W178" s="226"/>
      <c r="X178" s="201"/>
      <c r="Y178" s="228"/>
      <c r="Z178" s="228"/>
      <c r="AA178" s="228"/>
      <c r="AB178" s="202"/>
      <c r="AC178" s="202"/>
      <c r="AD178" s="202"/>
      <c r="AE178" s="228"/>
      <c r="AF178" s="240"/>
    </row>
    <row r="179" spans="1:32" s="203" customFormat="1">
      <c r="A179" s="330" t="s">
        <v>217</v>
      </c>
      <c r="B179" s="243" t="s">
        <v>369</v>
      </c>
      <c r="C179" s="355">
        <v>366447</v>
      </c>
      <c r="D179" s="356">
        <v>13</v>
      </c>
      <c r="E179" s="225">
        <f t="shared" si="10"/>
        <v>36658</v>
      </c>
      <c r="F179" s="229">
        <f t="shared" si="11"/>
        <v>32801</v>
      </c>
      <c r="G179" s="226">
        <v>35915</v>
      </c>
      <c r="H179" s="201">
        <v>31207</v>
      </c>
      <c r="I179" s="226"/>
      <c r="J179" s="201"/>
      <c r="K179" s="228">
        <v>273</v>
      </c>
      <c r="L179" s="228">
        <v>470</v>
      </c>
      <c r="M179" s="228">
        <v>0</v>
      </c>
      <c r="N179" s="202">
        <v>1469</v>
      </c>
      <c r="O179" s="202">
        <v>125</v>
      </c>
      <c r="P179" s="202">
        <v>0</v>
      </c>
      <c r="Q179" s="228"/>
      <c r="R179" s="201"/>
      <c r="S179" s="225">
        <f t="shared" si="12"/>
        <v>0</v>
      </c>
      <c r="T179" s="229">
        <f t="shared" si="13"/>
        <v>0</v>
      </c>
      <c r="U179" s="226"/>
      <c r="V179" s="201"/>
      <c r="W179" s="226"/>
      <c r="X179" s="201"/>
      <c r="Y179" s="228"/>
      <c r="Z179" s="228"/>
      <c r="AA179" s="228"/>
      <c r="AB179" s="202"/>
      <c r="AC179" s="202"/>
      <c r="AD179" s="202"/>
      <c r="AE179" s="228"/>
      <c r="AF179" s="240"/>
    </row>
    <row r="180" spans="1:32" s="203" customFormat="1">
      <c r="A180" s="330" t="s">
        <v>217</v>
      </c>
      <c r="B180" s="264" t="s">
        <v>370</v>
      </c>
      <c r="C180" s="330">
        <v>140809</v>
      </c>
      <c r="D180" s="330">
        <v>13</v>
      </c>
      <c r="E180" s="225">
        <f t="shared" si="10"/>
        <v>33624</v>
      </c>
      <c r="F180" s="229">
        <f t="shared" si="11"/>
        <v>36240</v>
      </c>
      <c r="G180" s="226">
        <v>27419</v>
      </c>
      <c r="H180" s="201">
        <v>23518</v>
      </c>
      <c r="I180" s="226"/>
      <c r="J180" s="201"/>
      <c r="K180" s="228">
        <v>6205</v>
      </c>
      <c r="L180" s="228">
        <v>0</v>
      </c>
      <c r="M180" s="228">
        <v>0</v>
      </c>
      <c r="N180" s="202">
        <v>12722</v>
      </c>
      <c r="O180" s="202">
        <v>0</v>
      </c>
      <c r="P180" s="202">
        <v>0</v>
      </c>
      <c r="Q180" s="228"/>
      <c r="R180" s="201"/>
      <c r="S180" s="225">
        <f t="shared" si="12"/>
        <v>0</v>
      </c>
      <c r="T180" s="229">
        <f t="shared" si="13"/>
        <v>0</v>
      </c>
      <c r="U180" s="226"/>
      <c r="V180" s="201"/>
      <c r="W180" s="226"/>
      <c r="X180" s="201"/>
      <c r="Y180" s="228"/>
      <c r="Z180" s="228"/>
      <c r="AA180" s="228"/>
      <c r="AB180" s="202"/>
      <c r="AC180" s="202"/>
      <c r="AD180" s="202"/>
      <c r="AE180" s="228"/>
      <c r="AF180" s="240"/>
    </row>
    <row r="181" spans="1:32" s="203" customFormat="1">
      <c r="A181" s="330" t="s">
        <v>217</v>
      </c>
      <c r="B181" s="243" t="s">
        <v>371</v>
      </c>
      <c r="C181" s="355">
        <v>248794</v>
      </c>
      <c r="D181" s="356">
        <v>13</v>
      </c>
      <c r="E181" s="225">
        <f t="shared" si="10"/>
        <v>36839.9</v>
      </c>
      <c r="F181" s="229">
        <f t="shared" si="11"/>
        <v>37158.9</v>
      </c>
      <c r="G181" s="226">
        <v>31423.9</v>
      </c>
      <c r="H181" s="201">
        <v>31177.9</v>
      </c>
      <c r="I181" s="226"/>
      <c r="J181" s="201"/>
      <c r="K181" s="228">
        <v>5416</v>
      </c>
      <c r="L181" s="228">
        <v>0</v>
      </c>
      <c r="M181" s="228">
        <v>0</v>
      </c>
      <c r="N181" s="202">
        <v>5981</v>
      </c>
      <c r="O181" s="202">
        <v>0</v>
      </c>
      <c r="P181" s="202">
        <v>0</v>
      </c>
      <c r="Q181" s="228"/>
      <c r="R181" s="201"/>
      <c r="S181" s="225">
        <f t="shared" si="12"/>
        <v>0</v>
      </c>
      <c r="T181" s="229">
        <f t="shared" si="13"/>
        <v>0</v>
      </c>
      <c r="U181" s="226"/>
      <c r="V181" s="201"/>
      <c r="W181" s="226"/>
      <c r="X181" s="201"/>
      <c r="Y181" s="228"/>
      <c r="Z181" s="228"/>
      <c r="AA181" s="228"/>
      <c r="AB181" s="202"/>
      <c r="AC181" s="202"/>
      <c r="AD181" s="202"/>
      <c r="AE181" s="228"/>
      <c r="AF181" s="240"/>
    </row>
    <row r="182" spans="1:32" s="203" customFormat="1">
      <c r="A182" s="330" t="s">
        <v>217</v>
      </c>
      <c r="B182" s="264" t="s">
        <v>372</v>
      </c>
      <c r="C182" s="330">
        <v>420431</v>
      </c>
      <c r="D182" s="330">
        <v>13</v>
      </c>
      <c r="E182" s="225">
        <f t="shared" si="10"/>
        <v>26867</v>
      </c>
      <c r="F182" s="229">
        <f t="shared" si="11"/>
        <v>25565</v>
      </c>
      <c r="G182" s="226">
        <v>25708</v>
      </c>
      <c r="H182" s="201">
        <v>23338</v>
      </c>
      <c r="I182" s="226"/>
      <c r="J182" s="201"/>
      <c r="K182" s="228">
        <v>1159</v>
      </c>
      <c r="L182" s="228">
        <v>0</v>
      </c>
      <c r="M182" s="228">
        <v>0</v>
      </c>
      <c r="N182" s="202">
        <v>2227</v>
      </c>
      <c r="O182" s="202">
        <v>0</v>
      </c>
      <c r="P182" s="202">
        <v>0</v>
      </c>
      <c r="Q182" s="228"/>
      <c r="R182" s="201"/>
      <c r="S182" s="225">
        <f t="shared" si="12"/>
        <v>0</v>
      </c>
      <c r="T182" s="229">
        <f t="shared" si="13"/>
        <v>0</v>
      </c>
      <c r="U182" s="226"/>
      <c r="V182" s="201"/>
      <c r="W182" s="226"/>
      <c r="X182" s="201"/>
      <c r="Y182" s="228"/>
      <c r="Z182" s="228"/>
      <c r="AA182" s="228"/>
      <c r="AB182" s="202"/>
      <c r="AC182" s="202"/>
      <c r="AD182" s="202"/>
      <c r="AE182" s="228"/>
      <c r="AF182" s="240"/>
    </row>
    <row r="183" spans="1:32" s="203" customFormat="1">
      <c r="A183" s="330" t="s">
        <v>217</v>
      </c>
      <c r="B183" s="264" t="s">
        <v>373</v>
      </c>
      <c r="C183" s="283">
        <v>368911</v>
      </c>
      <c r="D183" s="356">
        <v>13</v>
      </c>
      <c r="E183" s="225">
        <f t="shared" si="10"/>
        <v>34472</v>
      </c>
      <c r="F183" s="229">
        <f t="shared" si="11"/>
        <v>38249</v>
      </c>
      <c r="G183" s="226">
        <v>25678</v>
      </c>
      <c r="H183" s="201">
        <v>28778</v>
      </c>
      <c r="I183" s="226"/>
      <c r="J183" s="201"/>
      <c r="K183" s="228">
        <v>8794</v>
      </c>
      <c r="L183" s="228">
        <v>0</v>
      </c>
      <c r="M183" s="228">
        <v>0</v>
      </c>
      <c r="N183" s="202">
        <v>9471</v>
      </c>
      <c r="O183" s="202">
        <v>0</v>
      </c>
      <c r="P183" s="202">
        <v>0</v>
      </c>
      <c r="Q183" s="228"/>
      <c r="R183" s="201"/>
      <c r="S183" s="225">
        <f t="shared" si="12"/>
        <v>0</v>
      </c>
      <c r="T183" s="229">
        <f t="shared" si="13"/>
        <v>0</v>
      </c>
      <c r="U183" s="226"/>
      <c r="V183" s="201"/>
      <c r="W183" s="226"/>
      <c r="X183" s="201"/>
      <c r="Y183" s="228"/>
      <c r="Z183" s="228"/>
      <c r="AA183" s="228"/>
      <c r="AB183" s="202"/>
      <c r="AC183" s="202"/>
      <c r="AD183" s="202"/>
      <c r="AE183" s="228"/>
      <c r="AF183" s="240"/>
    </row>
    <row r="184" spans="1:32" s="203" customFormat="1">
      <c r="A184" s="330" t="s">
        <v>217</v>
      </c>
      <c r="B184" s="242" t="s">
        <v>374</v>
      </c>
      <c r="C184" s="330">
        <v>141121</v>
      </c>
      <c r="D184" s="330">
        <v>13</v>
      </c>
      <c r="E184" s="225">
        <f t="shared" si="10"/>
        <v>24465</v>
      </c>
      <c r="F184" s="229">
        <f t="shared" si="11"/>
        <v>24484</v>
      </c>
      <c r="G184" s="226">
        <v>20381</v>
      </c>
      <c r="H184" s="201">
        <v>18485</v>
      </c>
      <c r="I184" s="226"/>
      <c r="J184" s="201"/>
      <c r="K184" s="228">
        <v>4084</v>
      </c>
      <c r="L184" s="228">
        <v>0</v>
      </c>
      <c r="M184" s="228">
        <v>0</v>
      </c>
      <c r="N184" s="202">
        <v>5999</v>
      </c>
      <c r="O184" s="202">
        <v>0</v>
      </c>
      <c r="P184" s="202">
        <v>0</v>
      </c>
      <c r="Q184" s="228"/>
      <c r="R184" s="201"/>
      <c r="S184" s="225">
        <f t="shared" si="12"/>
        <v>0</v>
      </c>
      <c r="T184" s="229">
        <f t="shared" si="13"/>
        <v>0</v>
      </c>
      <c r="U184" s="226"/>
      <c r="V184" s="201"/>
      <c r="W184" s="226"/>
      <c r="X184" s="201"/>
      <c r="Y184" s="228"/>
      <c r="Z184" s="228"/>
      <c r="AA184" s="228"/>
      <c r="AB184" s="202"/>
      <c r="AC184" s="202"/>
      <c r="AD184" s="202"/>
      <c r="AE184" s="228"/>
      <c r="AF184" s="240"/>
    </row>
    <row r="185" spans="1:32" s="203" customFormat="1">
      <c r="A185" s="235" t="s">
        <v>217</v>
      </c>
      <c r="B185" s="258" t="s">
        <v>392</v>
      </c>
      <c r="C185" s="259">
        <v>447689</v>
      </c>
      <c r="D185" s="293">
        <v>15</v>
      </c>
      <c r="E185" s="225">
        <f t="shared" si="10"/>
        <v>10692</v>
      </c>
      <c r="F185" s="229">
        <f t="shared" si="11"/>
        <v>30979</v>
      </c>
      <c r="G185" s="226">
        <v>10692</v>
      </c>
      <c r="H185" s="201">
        <v>30979</v>
      </c>
      <c r="I185" s="226"/>
      <c r="J185" s="201"/>
      <c r="K185" s="228"/>
      <c r="L185" s="228"/>
      <c r="M185" s="228"/>
      <c r="N185" s="202"/>
      <c r="O185" s="202"/>
      <c r="P185" s="202"/>
      <c r="Q185" s="228"/>
      <c r="R185" s="201"/>
      <c r="S185" s="225">
        <f t="shared" si="12"/>
        <v>0</v>
      </c>
      <c r="T185" s="229">
        <f t="shared" si="13"/>
        <v>0</v>
      </c>
      <c r="U185" s="226"/>
      <c r="V185" s="201"/>
      <c r="W185" s="226"/>
      <c r="X185" s="201"/>
      <c r="Y185" s="228"/>
      <c r="Z185" s="228"/>
      <c r="AA185" s="228"/>
      <c r="AB185" s="202"/>
      <c r="AC185" s="202"/>
      <c r="AD185" s="202"/>
      <c r="AE185" s="228"/>
      <c r="AF185" s="240"/>
    </row>
    <row r="186" spans="1:32" s="203" customFormat="1">
      <c r="A186" s="266" t="s">
        <v>131</v>
      </c>
      <c r="B186" s="267" t="s">
        <v>408</v>
      </c>
      <c r="C186" s="266">
        <v>157085</v>
      </c>
      <c r="D186" s="245">
        <v>1</v>
      </c>
      <c r="E186" s="225">
        <f t="shared" si="10"/>
        <v>492801</v>
      </c>
      <c r="F186" s="229">
        <f t="shared" si="11"/>
        <v>514642</v>
      </c>
      <c r="G186" s="226">
        <v>481504</v>
      </c>
      <c r="H186" s="201">
        <v>499006</v>
      </c>
      <c r="I186" s="226">
        <v>2051</v>
      </c>
      <c r="J186" s="201">
        <v>2688</v>
      </c>
      <c r="K186" s="228">
        <v>5943</v>
      </c>
      <c r="L186" s="228">
        <v>880</v>
      </c>
      <c r="M186" s="228">
        <v>2423</v>
      </c>
      <c r="N186" s="202">
        <v>6725</v>
      </c>
      <c r="O186" s="202"/>
      <c r="P186" s="202">
        <v>6223</v>
      </c>
      <c r="Q186" s="228"/>
      <c r="R186" s="201"/>
      <c r="S186" s="225">
        <f t="shared" si="12"/>
        <v>76067</v>
      </c>
      <c r="T186" s="229">
        <f t="shared" si="13"/>
        <v>81033</v>
      </c>
      <c r="U186" s="226">
        <v>67862</v>
      </c>
      <c r="V186" s="201">
        <v>69720</v>
      </c>
      <c r="W186" s="226">
        <v>3510</v>
      </c>
      <c r="X186" s="201">
        <v>3976</v>
      </c>
      <c r="Y186" s="228">
        <v>3874</v>
      </c>
      <c r="Z186" s="228">
        <v>465</v>
      </c>
      <c r="AA186" s="228">
        <v>356</v>
      </c>
      <c r="AB186" s="202">
        <v>6105</v>
      </c>
      <c r="AC186" s="202"/>
      <c r="AD186" s="202">
        <v>1232</v>
      </c>
      <c r="AE186" s="228"/>
      <c r="AF186" s="240"/>
    </row>
    <row r="187" spans="1:32" s="203" customFormat="1">
      <c r="A187" s="266" t="s">
        <v>131</v>
      </c>
      <c r="B187" s="265" t="s">
        <v>409</v>
      </c>
      <c r="C187" s="266">
        <v>157289</v>
      </c>
      <c r="D187" s="246">
        <v>1</v>
      </c>
      <c r="E187" s="225">
        <f t="shared" si="10"/>
        <v>378133</v>
      </c>
      <c r="F187" s="229">
        <f t="shared" si="11"/>
        <v>387922</v>
      </c>
      <c r="G187" s="226">
        <v>354461</v>
      </c>
      <c r="H187" s="201">
        <v>360391</v>
      </c>
      <c r="I187" s="226">
        <v>9079</v>
      </c>
      <c r="J187" s="201">
        <v>9227</v>
      </c>
      <c r="K187" s="228">
        <v>14242</v>
      </c>
      <c r="L187" s="228">
        <v>0</v>
      </c>
      <c r="M187" s="228">
        <v>351</v>
      </c>
      <c r="N187" s="202">
        <v>18031</v>
      </c>
      <c r="O187" s="202"/>
      <c r="P187" s="202">
        <v>273</v>
      </c>
      <c r="Q187" s="228"/>
      <c r="R187" s="201"/>
      <c r="S187" s="225">
        <f t="shared" si="12"/>
        <v>80433</v>
      </c>
      <c r="T187" s="229">
        <f t="shared" si="13"/>
        <v>79712</v>
      </c>
      <c r="U187" s="226">
        <v>69147</v>
      </c>
      <c r="V187" s="201">
        <v>70218</v>
      </c>
      <c r="W187" s="226">
        <v>6566</v>
      </c>
      <c r="X187" s="201">
        <v>4593</v>
      </c>
      <c r="Y187" s="228">
        <v>4717</v>
      </c>
      <c r="Z187" s="228"/>
      <c r="AA187" s="228">
        <v>3</v>
      </c>
      <c r="AB187" s="202">
        <v>4901</v>
      </c>
      <c r="AC187" s="202"/>
      <c r="AD187" s="202"/>
      <c r="AE187" s="228"/>
      <c r="AF187" s="240"/>
    </row>
    <row r="188" spans="1:32" s="203" customFormat="1">
      <c r="A188" s="266" t="s">
        <v>131</v>
      </c>
      <c r="B188" s="267" t="s">
        <v>410</v>
      </c>
      <c r="C188" s="266">
        <v>156620</v>
      </c>
      <c r="D188" s="245">
        <v>3</v>
      </c>
      <c r="E188" s="225">
        <f t="shared" si="10"/>
        <v>358158</v>
      </c>
      <c r="F188" s="229">
        <f t="shared" si="11"/>
        <v>363578</v>
      </c>
      <c r="G188" s="226">
        <v>299561</v>
      </c>
      <c r="H188" s="201">
        <v>297251</v>
      </c>
      <c r="I188" s="226">
        <v>30737</v>
      </c>
      <c r="J188" s="201">
        <v>29693</v>
      </c>
      <c r="K188" s="228">
        <v>16760</v>
      </c>
      <c r="L188" s="228">
        <v>10353</v>
      </c>
      <c r="M188" s="228">
        <v>747</v>
      </c>
      <c r="N188" s="202">
        <v>25283</v>
      </c>
      <c r="O188" s="202">
        <v>10505</v>
      </c>
      <c r="P188" s="202">
        <v>846</v>
      </c>
      <c r="Q188" s="228"/>
      <c r="R188" s="201"/>
      <c r="S188" s="225">
        <f t="shared" si="12"/>
        <v>36644</v>
      </c>
      <c r="T188" s="229">
        <f t="shared" si="13"/>
        <v>36796</v>
      </c>
      <c r="U188" s="226">
        <v>23364</v>
      </c>
      <c r="V188" s="201">
        <v>23182</v>
      </c>
      <c r="W188" s="226">
        <v>4583</v>
      </c>
      <c r="X188" s="201">
        <v>2314</v>
      </c>
      <c r="Y188" s="228">
        <v>6971</v>
      </c>
      <c r="Z188" s="228">
        <v>1723</v>
      </c>
      <c r="AA188" s="228">
        <v>3</v>
      </c>
      <c r="AB188" s="202">
        <v>9753</v>
      </c>
      <c r="AC188" s="202">
        <v>1547</v>
      </c>
      <c r="AD188" s="202"/>
      <c r="AE188" s="228"/>
      <c r="AF188" s="240"/>
    </row>
    <row r="189" spans="1:32" s="203" customFormat="1">
      <c r="A189" s="266" t="s">
        <v>131</v>
      </c>
      <c r="B189" s="267" t="s">
        <v>411</v>
      </c>
      <c r="C189" s="266">
        <v>157401</v>
      </c>
      <c r="D189" s="245">
        <v>3</v>
      </c>
      <c r="E189" s="225">
        <f t="shared" si="10"/>
        <v>230522</v>
      </c>
      <c r="F189" s="229">
        <f t="shared" si="11"/>
        <v>226067</v>
      </c>
      <c r="G189" s="226">
        <v>206415</v>
      </c>
      <c r="H189" s="201">
        <v>200515</v>
      </c>
      <c r="I189" s="226">
        <v>11612</v>
      </c>
      <c r="J189" s="201">
        <v>11936</v>
      </c>
      <c r="K189" s="228">
        <v>8240</v>
      </c>
      <c r="L189" s="228">
        <v>3634</v>
      </c>
      <c r="M189" s="228">
        <v>621</v>
      </c>
      <c r="N189" s="202">
        <v>9412</v>
      </c>
      <c r="O189" s="202">
        <v>3607</v>
      </c>
      <c r="P189" s="202">
        <v>597</v>
      </c>
      <c r="Q189" s="228"/>
      <c r="R189" s="201"/>
      <c r="S189" s="225">
        <f t="shared" si="12"/>
        <v>28553</v>
      </c>
      <c r="T189" s="229">
        <f t="shared" si="13"/>
        <v>29310</v>
      </c>
      <c r="U189" s="226">
        <v>16514</v>
      </c>
      <c r="V189" s="201">
        <v>15920</v>
      </c>
      <c r="W189" s="226">
        <v>4928</v>
      </c>
      <c r="X189" s="201">
        <v>5234</v>
      </c>
      <c r="Y189" s="228">
        <v>4983</v>
      </c>
      <c r="Z189" s="228">
        <v>2128</v>
      </c>
      <c r="AA189" s="228"/>
      <c r="AB189" s="202">
        <v>6187</v>
      </c>
      <c r="AC189" s="202">
        <v>1969</v>
      </c>
      <c r="AD189" s="202"/>
      <c r="AE189" s="228"/>
      <c r="AF189" s="240"/>
    </row>
    <row r="190" spans="1:32" s="203" customFormat="1">
      <c r="A190" s="266" t="s">
        <v>131</v>
      </c>
      <c r="B190" s="267" t="s">
        <v>412</v>
      </c>
      <c r="C190" s="266">
        <v>157951</v>
      </c>
      <c r="D190" s="245">
        <v>3</v>
      </c>
      <c r="E190" s="225">
        <f t="shared" si="10"/>
        <v>434109</v>
      </c>
      <c r="F190" s="229">
        <f t="shared" si="11"/>
        <v>440931</v>
      </c>
      <c r="G190" s="226">
        <v>356937</v>
      </c>
      <c r="H190" s="201">
        <v>354796</v>
      </c>
      <c r="I190" s="226">
        <v>37810</v>
      </c>
      <c r="J190" s="201">
        <v>38188</v>
      </c>
      <c r="K190" s="228">
        <v>30155</v>
      </c>
      <c r="L190" s="228">
        <v>6887</v>
      </c>
      <c r="M190" s="228">
        <v>2320</v>
      </c>
      <c r="N190" s="202">
        <v>38278</v>
      </c>
      <c r="O190" s="202">
        <v>7306</v>
      </c>
      <c r="P190" s="202">
        <v>2363</v>
      </c>
      <c r="Q190" s="228"/>
      <c r="R190" s="201"/>
      <c r="S190" s="225">
        <f t="shared" si="12"/>
        <v>44088</v>
      </c>
      <c r="T190" s="229">
        <f t="shared" si="13"/>
        <v>44466</v>
      </c>
      <c r="U190" s="226">
        <v>23390</v>
      </c>
      <c r="V190" s="201">
        <v>22083</v>
      </c>
      <c r="W190" s="226">
        <v>3398</v>
      </c>
      <c r="X190" s="201">
        <v>3173</v>
      </c>
      <c r="Y190" s="228">
        <v>16316</v>
      </c>
      <c r="Z190" s="228">
        <v>920</v>
      </c>
      <c r="AA190" s="228">
        <v>64</v>
      </c>
      <c r="AB190" s="202">
        <v>18323</v>
      </c>
      <c r="AC190" s="202">
        <v>812</v>
      </c>
      <c r="AD190" s="202">
        <v>75</v>
      </c>
      <c r="AE190" s="228"/>
      <c r="AF190" s="240"/>
    </row>
    <row r="191" spans="1:32" s="203" customFormat="1">
      <c r="A191" s="266" t="s">
        <v>131</v>
      </c>
      <c r="B191" s="267" t="s">
        <v>413</v>
      </c>
      <c r="C191" s="266">
        <v>157386</v>
      </c>
      <c r="D191" s="245">
        <v>4</v>
      </c>
      <c r="E191" s="225">
        <f t="shared" si="10"/>
        <v>191305</v>
      </c>
      <c r="F191" s="229">
        <f t="shared" si="11"/>
        <v>187816</v>
      </c>
      <c r="G191" s="226">
        <v>151129</v>
      </c>
      <c r="H191" s="201">
        <v>142980</v>
      </c>
      <c r="I191" s="226">
        <v>17237</v>
      </c>
      <c r="J191" s="201">
        <v>14338</v>
      </c>
      <c r="K191" s="228">
        <v>16193</v>
      </c>
      <c r="L191" s="228">
        <v>5936</v>
      </c>
      <c r="M191" s="228">
        <v>810</v>
      </c>
      <c r="N191" s="202">
        <v>21642</v>
      </c>
      <c r="O191" s="202">
        <v>8127</v>
      </c>
      <c r="P191" s="202">
        <v>729</v>
      </c>
      <c r="Q191" s="228"/>
      <c r="R191" s="201"/>
      <c r="S191" s="225">
        <f t="shared" si="12"/>
        <v>22887</v>
      </c>
      <c r="T191" s="229">
        <f t="shared" si="13"/>
        <v>22648</v>
      </c>
      <c r="U191" s="226">
        <v>8478</v>
      </c>
      <c r="V191" s="201">
        <v>7218</v>
      </c>
      <c r="W191" s="226">
        <v>2028</v>
      </c>
      <c r="X191" s="201">
        <v>1517</v>
      </c>
      <c r="Y191" s="228">
        <v>10926</v>
      </c>
      <c r="Z191" s="228">
        <v>1455</v>
      </c>
      <c r="AA191" s="228"/>
      <c r="AB191" s="202">
        <v>12878</v>
      </c>
      <c r="AC191" s="202">
        <v>1035</v>
      </c>
      <c r="AD191" s="202"/>
      <c r="AE191" s="228"/>
      <c r="AF191" s="240"/>
    </row>
    <row r="192" spans="1:32" s="203" customFormat="1">
      <c r="A192" s="266" t="s">
        <v>131</v>
      </c>
      <c r="B192" s="267" t="s">
        <v>414</v>
      </c>
      <c r="C192" s="266">
        <v>157447</v>
      </c>
      <c r="D192" s="245">
        <v>4</v>
      </c>
      <c r="E192" s="225">
        <f t="shared" si="10"/>
        <v>314154</v>
      </c>
      <c r="F192" s="229">
        <f t="shared" si="11"/>
        <v>323636</v>
      </c>
      <c r="G192" s="226">
        <v>293816</v>
      </c>
      <c r="H192" s="201">
        <v>292901</v>
      </c>
      <c r="I192" s="226">
        <v>10815</v>
      </c>
      <c r="J192" s="201">
        <v>13707</v>
      </c>
      <c r="K192" s="228">
        <v>8809</v>
      </c>
      <c r="L192" s="228">
        <v>0</v>
      </c>
      <c r="M192" s="228">
        <v>714</v>
      </c>
      <c r="N192" s="202">
        <v>16416</v>
      </c>
      <c r="O192" s="202" t="s">
        <v>196</v>
      </c>
      <c r="P192" s="202">
        <v>612</v>
      </c>
      <c r="Q192" s="228"/>
      <c r="R192" s="201"/>
      <c r="S192" s="225">
        <f t="shared" si="12"/>
        <v>36868</v>
      </c>
      <c r="T192" s="229">
        <f t="shared" si="13"/>
        <v>37514</v>
      </c>
      <c r="U192" s="226">
        <v>30562</v>
      </c>
      <c r="V192" s="201">
        <v>29541</v>
      </c>
      <c r="W192" s="226">
        <v>966</v>
      </c>
      <c r="X192" s="201">
        <v>1166</v>
      </c>
      <c r="Y192" s="228">
        <v>5340</v>
      </c>
      <c r="Z192" s="228"/>
      <c r="AA192" s="228"/>
      <c r="AB192" s="202">
        <v>6807</v>
      </c>
      <c r="AC192" s="202"/>
      <c r="AD192" s="202"/>
      <c r="AE192" s="228"/>
      <c r="AF192" s="240"/>
    </row>
    <row r="193" spans="1:32" s="203" customFormat="1">
      <c r="A193" s="266" t="s">
        <v>131</v>
      </c>
      <c r="B193" s="267" t="s">
        <v>415</v>
      </c>
      <c r="C193" s="266">
        <v>157058</v>
      </c>
      <c r="D193" s="245">
        <v>5</v>
      </c>
      <c r="E193" s="225">
        <f t="shared" si="10"/>
        <v>61135</v>
      </c>
      <c r="F193" s="229">
        <f t="shared" si="11"/>
        <v>62327</v>
      </c>
      <c r="G193" s="226">
        <v>53753</v>
      </c>
      <c r="H193" s="201">
        <v>55636</v>
      </c>
      <c r="I193" s="226">
        <v>0</v>
      </c>
      <c r="J193" s="201">
        <v>0</v>
      </c>
      <c r="K193" s="228">
        <v>6260</v>
      </c>
      <c r="L193" s="228">
        <v>78</v>
      </c>
      <c r="M193" s="228">
        <v>1044</v>
      </c>
      <c r="N193" s="202">
        <v>6377</v>
      </c>
      <c r="O193" s="202">
        <v>314</v>
      </c>
      <c r="P193" s="202">
        <v>0</v>
      </c>
      <c r="Q193" s="228"/>
      <c r="R193" s="201"/>
      <c r="S193" s="225">
        <f t="shared" si="12"/>
        <v>3206</v>
      </c>
      <c r="T193" s="229">
        <f t="shared" si="13"/>
        <v>2666</v>
      </c>
      <c r="U193" s="226">
        <v>1749</v>
      </c>
      <c r="V193" s="201">
        <v>1268</v>
      </c>
      <c r="W193" s="226"/>
      <c r="X193" s="201"/>
      <c r="Y193" s="228">
        <v>1457</v>
      </c>
      <c r="Z193" s="228"/>
      <c r="AA193" s="228"/>
      <c r="AB193" s="202">
        <v>1398</v>
      </c>
      <c r="AC193" s="202"/>
      <c r="AD193" s="202"/>
      <c r="AE193" s="228"/>
      <c r="AF193" s="240"/>
    </row>
    <row r="194" spans="1:32" s="203" customFormat="1">
      <c r="A194" s="266" t="s">
        <v>131</v>
      </c>
      <c r="B194" s="267" t="s">
        <v>416</v>
      </c>
      <c r="C194" s="266">
        <v>157173</v>
      </c>
      <c r="D194" s="245">
        <v>8</v>
      </c>
      <c r="E194" s="225">
        <f t="shared" si="10"/>
        <v>215808</v>
      </c>
      <c r="F194" s="229">
        <f t="shared" si="11"/>
        <v>233103</v>
      </c>
      <c r="G194" s="226">
        <v>169149</v>
      </c>
      <c r="H194" s="201">
        <v>164495</v>
      </c>
      <c r="I194" s="226">
        <v>15903</v>
      </c>
      <c r="J194" s="201">
        <v>19915</v>
      </c>
      <c r="K194" s="228">
        <v>28678</v>
      </c>
      <c r="L194" s="228">
        <v>1772</v>
      </c>
      <c r="M194" s="228">
        <v>306</v>
      </c>
      <c r="N194" s="202">
        <v>47219</v>
      </c>
      <c r="O194" s="202">
        <v>1315</v>
      </c>
      <c r="P194" s="202">
        <v>159</v>
      </c>
      <c r="Q194" s="228"/>
      <c r="R194" s="201"/>
      <c r="S194" s="225">
        <f t="shared" si="12"/>
        <v>0</v>
      </c>
      <c r="T194" s="229">
        <f t="shared" si="13"/>
        <v>0</v>
      </c>
      <c r="U194" s="226"/>
      <c r="V194" s="201"/>
      <c r="W194" s="226"/>
      <c r="X194" s="201"/>
      <c r="Y194" s="228"/>
      <c r="Z194" s="228"/>
      <c r="AA194" s="228"/>
      <c r="AB194" s="202"/>
      <c r="AC194" s="202"/>
      <c r="AD194" s="202"/>
      <c r="AE194" s="228"/>
      <c r="AF194" s="240"/>
    </row>
    <row r="195" spans="1:32" s="203" customFormat="1">
      <c r="A195" s="266" t="s">
        <v>131</v>
      </c>
      <c r="B195" s="267" t="s">
        <v>417</v>
      </c>
      <c r="C195" s="266">
        <v>156921</v>
      </c>
      <c r="D195" s="245">
        <v>8</v>
      </c>
      <c r="E195" s="225">
        <f t="shared" si="10"/>
        <v>240651</v>
      </c>
      <c r="F195" s="229">
        <f t="shared" si="11"/>
        <v>241737</v>
      </c>
      <c r="G195" s="226">
        <v>187271</v>
      </c>
      <c r="H195" s="201">
        <v>187228</v>
      </c>
      <c r="I195" s="226">
        <v>21274</v>
      </c>
      <c r="J195" s="201">
        <v>17991</v>
      </c>
      <c r="K195" s="228">
        <v>31533</v>
      </c>
      <c r="L195" s="228">
        <v>258</v>
      </c>
      <c r="M195" s="228">
        <v>315</v>
      </c>
      <c r="N195" s="202">
        <v>36008</v>
      </c>
      <c r="O195" s="202">
        <v>369</v>
      </c>
      <c r="P195" s="202">
        <v>141</v>
      </c>
      <c r="Q195" s="228"/>
      <c r="R195" s="201"/>
      <c r="S195" s="225">
        <f t="shared" si="12"/>
        <v>0</v>
      </c>
      <c r="T195" s="229">
        <f t="shared" si="13"/>
        <v>0</v>
      </c>
      <c r="U195" s="226"/>
      <c r="V195" s="201"/>
      <c r="W195" s="226"/>
      <c r="X195" s="201"/>
      <c r="Y195" s="228"/>
      <c r="Z195" s="228"/>
      <c r="AA195" s="228"/>
      <c r="AB195" s="202"/>
      <c r="AC195" s="202"/>
      <c r="AD195" s="202"/>
      <c r="AE195" s="228"/>
      <c r="AF195" s="240"/>
    </row>
    <row r="196" spans="1:32" s="203" customFormat="1">
      <c r="A196" s="266" t="s">
        <v>131</v>
      </c>
      <c r="B196" s="267" t="s">
        <v>418</v>
      </c>
      <c r="C196" s="266">
        <v>156231</v>
      </c>
      <c r="D196" s="245">
        <v>9</v>
      </c>
      <c r="E196" s="225">
        <f t="shared" si="10"/>
        <v>64712</v>
      </c>
      <c r="F196" s="229">
        <f t="shared" si="11"/>
        <v>67087</v>
      </c>
      <c r="G196" s="226">
        <v>53839</v>
      </c>
      <c r="H196" s="201">
        <v>52698</v>
      </c>
      <c r="I196" s="226">
        <v>4957</v>
      </c>
      <c r="J196" s="201">
        <v>4524</v>
      </c>
      <c r="K196" s="228">
        <v>5784</v>
      </c>
      <c r="L196" s="228">
        <v>48</v>
      </c>
      <c r="M196" s="228">
        <v>84</v>
      </c>
      <c r="N196" s="202">
        <v>9799</v>
      </c>
      <c r="O196" s="202"/>
      <c r="P196" s="202">
        <v>66</v>
      </c>
      <c r="Q196" s="228"/>
      <c r="R196" s="201"/>
      <c r="S196" s="225">
        <f t="shared" si="12"/>
        <v>0</v>
      </c>
      <c r="T196" s="229">
        <f t="shared" si="13"/>
        <v>0</v>
      </c>
      <c r="U196" s="226"/>
      <c r="V196" s="201"/>
      <c r="W196" s="226"/>
      <c r="X196" s="201"/>
      <c r="Y196" s="228"/>
      <c r="Z196" s="228"/>
      <c r="AA196" s="228"/>
      <c r="AB196" s="202"/>
      <c r="AC196" s="202"/>
      <c r="AD196" s="202"/>
      <c r="AE196" s="228"/>
      <c r="AF196" s="240"/>
    </row>
    <row r="197" spans="1:32" s="203" customFormat="1">
      <c r="A197" s="266" t="s">
        <v>131</v>
      </c>
      <c r="B197" s="267" t="s">
        <v>419</v>
      </c>
      <c r="C197" s="266">
        <v>157553</v>
      </c>
      <c r="D197" s="245">
        <v>9</v>
      </c>
      <c r="E197" s="225">
        <f t="shared" si="10"/>
        <v>75831</v>
      </c>
      <c r="F197" s="229">
        <f t="shared" si="11"/>
        <v>74811</v>
      </c>
      <c r="G197" s="226">
        <v>35164</v>
      </c>
      <c r="H197" s="201">
        <v>35241</v>
      </c>
      <c r="I197" s="226">
        <v>13299</v>
      </c>
      <c r="J197" s="201">
        <v>9164</v>
      </c>
      <c r="K197" s="228">
        <v>26138</v>
      </c>
      <c r="L197" s="228">
        <v>1200</v>
      </c>
      <c r="M197" s="228">
        <v>30</v>
      </c>
      <c r="N197" s="202">
        <v>29686</v>
      </c>
      <c r="O197" s="202">
        <v>720</v>
      </c>
      <c r="P197" s="202"/>
      <c r="Q197" s="228"/>
      <c r="R197" s="201"/>
      <c r="S197" s="225">
        <f t="shared" si="12"/>
        <v>0</v>
      </c>
      <c r="T197" s="229">
        <f t="shared" si="13"/>
        <v>0</v>
      </c>
      <c r="U197" s="226"/>
      <c r="V197" s="201"/>
      <c r="W197" s="226"/>
      <c r="X197" s="201"/>
      <c r="Y197" s="228"/>
      <c r="Z197" s="228"/>
      <c r="AA197" s="228"/>
      <c r="AB197" s="202"/>
      <c r="AC197" s="202"/>
      <c r="AD197" s="202"/>
      <c r="AE197" s="228"/>
      <c r="AF197" s="240"/>
    </row>
    <row r="198" spans="1:32" s="203" customFormat="1">
      <c r="A198" s="266" t="s">
        <v>131</v>
      </c>
      <c r="B198" s="267" t="s">
        <v>420</v>
      </c>
      <c r="C198" s="269">
        <v>156648</v>
      </c>
      <c r="D198" s="245">
        <v>9</v>
      </c>
      <c r="E198" s="225">
        <f t="shared" ref="E198:E261" si="14">SUM(G198,I198,K198,L198,M198,Q198)</f>
        <v>88232</v>
      </c>
      <c r="F198" s="229">
        <f t="shared" ref="F198:F261" si="15">SUM(H198,J198,N198,O198,P198,R198)</f>
        <v>94014</v>
      </c>
      <c r="G198" s="226">
        <v>76833</v>
      </c>
      <c r="H198" s="201">
        <v>78048</v>
      </c>
      <c r="I198" s="226">
        <v>2777</v>
      </c>
      <c r="J198" s="201">
        <v>2599</v>
      </c>
      <c r="K198" s="228">
        <v>7542</v>
      </c>
      <c r="L198" s="228">
        <v>0</v>
      </c>
      <c r="M198" s="228">
        <v>1080</v>
      </c>
      <c r="N198" s="202">
        <v>12542</v>
      </c>
      <c r="O198" s="202">
        <v>825</v>
      </c>
      <c r="P198" s="202"/>
      <c r="Q198" s="228"/>
      <c r="R198" s="201"/>
      <c r="S198" s="225">
        <f t="shared" ref="S198:S261" si="16">SUM(U198,W198,Y198,Z198,AA198,AE198)</f>
        <v>0</v>
      </c>
      <c r="T198" s="229">
        <f t="shared" ref="T198:T261" si="17">SUM(V198,X198,AB198,AC198,AD198,AF198)</f>
        <v>0</v>
      </c>
      <c r="U198" s="226"/>
      <c r="V198" s="201"/>
      <c r="W198" s="226"/>
      <c r="X198" s="201"/>
      <c r="Y198" s="228"/>
      <c r="Z198" s="228"/>
      <c r="AA198" s="228"/>
      <c r="AB198" s="202"/>
      <c r="AC198" s="202"/>
      <c r="AD198" s="202"/>
      <c r="AE198" s="228"/>
      <c r="AF198" s="240"/>
    </row>
    <row r="199" spans="1:32" s="203" customFormat="1">
      <c r="A199" s="266" t="s">
        <v>131</v>
      </c>
      <c r="B199" s="357" t="s">
        <v>422</v>
      </c>
      <c r="C199" s="269">
        <v>157304</v>
      </c>
      <c r="D199" s="358">
        <v>9</v>
      </c>
      <c r="E199" s="225">
        <f t="shared" si="14"/>
        <v>60816</v>
      </c>
      <c r="F199" s="229">
        <f t="shared" si="15"/>
        <v>63807</v>
      </c>
      <c r="G199" s="226">
        <v>53935</v>
      </c>
      <c r="H199" s="201">
        <v>57180</v>
      </c>
      <c r="I199" s="226">
        <v>370</v>
      </c>
      <c r="J199" s="201">
        <v>414</v>
      </c>
      <c r="K199" s="228">
        <v>5926</v>
      </c>
      <c r="L199" s="228">
        <v>129</v>
      </c>
      <c r="M199" s="228">
        <v>456</v>
      </c>
      <c r="N199" s="202">
        <v>5769</v>
      </c>
      <c r="O199" s="202">
        <v>300</v>
      </c>
      <c r="P199" s="202">
        <v>144</v>
      </c>
      <c r="Q199" s="228"/>
      <c r="R199" s="201"/>
      <c r="S199" s="225">
        <f t="shared" si="16"/>
        <v>0</v>
      </c>
      <c r="T199" s="229">
        <f t="shared" si="17"/>
        <v>0</v>
      </c>
      <c r="U199" s="226"/>
      <c r="V199" s="201"/>
      <c r="W199" s="226"/>
      <c r="X199" s="201"/>
      <c r="Y199" s="228"/>
      <c r="Z199" s="228"/>
      <c r="AA199" s="228"/>
      <c r="AB199" s="202"/>
      <c r="AC199" s="202"/>
      <c r="AD199" s="202"/>
      <c r="AE199" s="228"/>
      <c r="AF199" s="240"/>
    </row>
    <row r="200" spans="1:32" s="203" customFormat="1">
      <c r="A200" s="266" t="s">
        <v>131</v>
      </c>
      <c r="B200" s="268" t="s">
        <v>429</v>
      </c>
      <c r="C200" s="269">
        <v>157331</v>
      </c>
      <c r="D200" s="270">
        <v>9</v>
      </c>
      <c r="E200" s="225">
        <f t="shared" si="14"/>
        <v>69233</v>
      </c>
      <c r="F200" s="229">
        <f t="shared" si="15"/>
        <v>74461</v>
      </c>
      <c r="G200" s="226">
        <v>28814</v>
      </c>
      <c r="H200" s="201">
        <v>28715</v>
      </c>
      <c r="I200" s="226">
        <v>12515</v>
      </c>
      <c r="J200" s="201">
        <v>11821</v>
      </c>
      <c r="K200" s="228">
        <v>26779</v>
      </c>
      <c r="L200" s="228">
        <v>1125</v>
      </c>
      <c r="M200" s="228"/>
      <c r="N200" s="202">
        <v>32739</v>
      </c>
      <c r="O200" s="202">
        <v>43</v>
      </c>
      <c r="P200" s="202">
        <v>1143</v>
      </c>
      <c r="Q200" s="228"/>
      <c r="R200" s="201"/>
      <c r="S200" s="225">
        <f t="shared" si="16"/>
        <v>0</v>
      </c>
      <c r="T200" s="229">
        <f t="shared" si="17"/>
        <v>0</v>
      </c>
      <c r="U200" s="226"/>
      <c r="V200" s="201"/>
      <c r="W200" s="226"/>
      <c r="X200" s="201"/>
      <c r="Y200" s="228"/>
      <c r="Z200" s="228"/>
      <c r="AA200" s="228"/>
      <c r="AB200" s="202"/>
      <c r="AC200" s="202"/>
      <c r="AD200" s="202"/>
      <c r="AE200" s="228"/>
      <c r="AF200" s="240"/>
    </row>
    <row r="201" spans="1:32" s="203" customFormat="1">
      <c r="A201" s="266" t="s">
        <v>131</v>
      </c>
      <c r="B201" s="267" t="s">
        <v>423</v>
      </c>
      <c r="C201" s="266">
        <v>247940</v>
      </c>
      <c r="D201" s="245">
        <v>9</v>
      </c>
      <c r="E201" s="225">
        <f t="shared" si="14"/>
        <v>74179</v>
      </c>
      <c r="F201" s="229">
        <f t="shared" si="15"/>
        <v>79652</v>
      </c>
      <c r="G201" s="226">
        <v>67366</v>
      </c>
      <c r="H201" s="201">
        <v>73240</v>
      </c>
      <c r="I201" s="226">
        <v>2736</v>
      </c>
      <c r="J201" s="201">
        <v>905</v>
      </c>
      <c r="K201" s="228">
        <v>3453</v>
      </c>
      <c r="L201" s="228">
        <v>0</v>
      </c>
      <c r="M201" s="228">
        <v>624</v>
      </c>
      <c r="N201" s="202">
        <v>5162</v>
      </c>
      <c r="O201" s="202"/>
      <c r="P201" s="202">
        <v>345</v>
      </c>
      <c r="Q201" s="228"/>
      <c r="R201" s="201"/>
      <c r="S201" s="225">
        <f t="shared" si="16"/>
        <v>0</v>
      </c>
      <c r="T201" s="229">
        <f t="shared" si="17"/>
        <v>0</v>
      </c>
      <c r="U201" s="226"/>
      <c r="V201" s="201"/>
      <c r="W201" s="226"/>
      <c r="X201" s="201"/>
      <c r="Y201" s="228"/>
      <c r="Z201" s="228"/>
      <c r="AA201" s="228"/>
      <c r="AB201" s="202"/>
      <c r="AC201" s="202"/>
      <c r="AD201" s="202"/>
      <c r="AE201" s="228"/>
      <c r="AF201" s="240"/>
    </row>
    <row r="202" spans="1:32" s="203" customFormat="1">
      <c r="A202" s="266" t="s">
        <v>131</v>
      </c>
      <c r="B202" s="267" t="s">
        <v>424</v>
      </c>
      <c r="C202" s="266">
        <v>157711</v>
      </c>
      <c r="D202" s="245">
        <v>9</v>
      </c>
      <c r="E202" s="225">
        <f t="shared" si="14"/>
        <v>113839</v>
      </c>
      <c r="F202" s="229">
        <f t="shared" si="15"/>
        <v>110071</v>
      </c>
      <c r="G202" s="226">
        <v>90868</v>
      </c>
      <c r="H202" s="201">
        <v>84564</v>
      </c>
      <c r="I202" s="226">
        <v>7793</v>
      </c>
      <c r="J202" s="201">
        <v>6295</v>
      </c>
      <c r="K202" s="228">
        <v>9691</v>
      </c>
      <c r="L202" s="228">
        <v>5373</v>
      </c>
      <c r="M202" s="228">
        <v>114</v>
      </c>
      <c r="N202" s="202">
        <v>13282</v>
      </c>
      <c r="O202" s="202">
        <v>5846</v>
      </c>
      <c r="P202" s="202">
        <v>84</v>
      </c>
      <c r="Q202" s="228"/>
      <c r="R202" s="201"/>
      <c r="S202" s="225">
        <f t="shared" si="16"/>
        <v>0</v>
      </c>
      <c r="T202" s="229">
        <f t="shared" si="17"/>
        <v>0</v>
      </c>
      <c r="U202" s="226"/>
      <c r="V202" s="201"/>
      <c r="W202" s="226"/>
      <c r="X202" s="201"/>
      <c r="Y202" s="228"/>
      <c r="Z202" s="228"/>
      <c r="AA202" s="228"/>
      <c r="AB202" s="202"/>
      <c r="AC202" s="202"/>
      <c r="AD202" s="202"/>
      <c r="AE202" s="228"/>
      <c r="AF202" s="240"/>
    </row>
    <row r="203" spans="1:32" s="203" customFormat="1">
      <c r="A203" s="266" t="s">
        <v>131</v>
      </c>
      <c r="B203" s="267" t="s">
        <v>425</v>
      </c>
      <c r="C203" s="266">
        <v>157739</v>
      </c>
      <c r="D203" s="245">
        <v>9</v>
      </c>
      <c r="E203" s="225">
        <f t="shared" si="14"/>
        <v>63637</v>
      </c>
      <c r="F203" s="229">
        <f t="shared" si="15"/>
        <v>61733</v>
      </c>
      <c r="G203" s="226">
        <v>27776</v>
      </c>
      <c r="H203" s="201">
        <v>24591</v>
      </c>
      <c r="I203" s="226">
        <v>25295</v>
      </c>
      <c r="J203" s="201">
        <v>23678</v>
      </c>
      <c r="K203" s="228">
        <v>7627</v>
      </c>
      <c r="L203" s="228">
        <v>1952</v>
      </c>
      <c r="M203" s="228">
        <v>987</v>
      </c>
      <c r="N203" s="202">
        <v>12157</v>
      </c>
      <c r="O203" s="202">
        <v>920</v>
      </c>
      <c r="P203" s="202">
        <v>387</v>
      </c>
      <c r="Q203" s="228"/>
      <c r="R203" s="201"/>
      <c r="S203" s="225">
        <f t="shared" si="16"/>
        <v>0</v>
      </c>
      <c r="T203" s="229">
        <f t="shared" si="17"/>
        <v>0</v>
      </c>
      <c r="U203" s="226"/>
      <c r="V203" s="201"/>
      <c r="W203" s="226"/>
      <c r="X203" s="201"/>
      <c r="Y203" s="228"/>
      <c r="Z203" s="228"/>
      <c r="AA203" s="228"/>
      <c r="AB203" s="202"/>
      <c r="AC203" s="202"/>
      <c r="AD203" s="202"/>
      <c r="AE203" s="228"/>
      <c r="AF203" s="240"/>
    </row>
    <row r="204" spans="1:32" s="203" customFormat="1">
      <c r="A204" s="266" t="s">
        <v>131</v>
      </c>
      <c r="B204" s="267" t="s">
        <v>426</v>
      </c>
      <c r="C204" s="266">
        <v>157483</v>
      </c>
      <c r="D204" s="245">
        <v>9</v>
      </c>
      <c r="E204" s="225">
        <f t="shared" si="14"/>
        <v>92837</v>
      </c>
      <c r="F204" s="229">
        <f t="shared" si="15"/>
        <v>95981</v>
      </c>
      <c r="G204" s="226">
        <v>74975</v>
      </c>
      <c r="H204" s="201">
        <v>71703</v>
      </c>
      <c r="I204" s="226">
        <v>3043</v>
      </c>
      <c r="J204" s="201">
        <v>2735</v>
      </c>
      <c r="K204" s="228">
        <v>14531</v>
      </c>
      <c r="L204" s="228">
        <v>273</v>
      </c>
      <c r="M204" s="228">
        <v>15</v>
      </c>
      <c r="N204" s="202">
        <v>21151</v>
      </c>
      <c r="O204" s="202">
        <v>392</v>
      </c>
      <c r="P204" s="202"/>
      <c r="Q204" s="228"/>
      <c r="R204" s="201"/>
      <c r="S204" s="225">
        <f t="shared" si="16"/>
        <v>0</v>
      </c>
      <c r="T204" s="229">
        <f t="shared" si="17"/>
        <v>0</v>
      </c>
      <c r="U204" s="226"/>
      <c r="V204" s="201"/>
      <c r="W204" s="226"/>
      <c r="X204" s="201"/>
      <c r="Y204" s="228"/>
      <c r="Z204" s="228"/>
      <c r="AA204" s="228"/>
      <c r="AB204" s="202"/>
      <c r="AC204" s="202"/>
      <c r="AD204" s="202"/>
      <c r="AE204" s="228"/>
      <c r="AF204" s="240"/>
    </row>
    <row r="205" spans="1:32" s="203" customFormat="1">
      <c r="A205" s="266" t="s">
        <v>131</v>
      </c>
      <c r="B205" s="268" t="s">
        <v>421</v>
      </c>
      <c r="C205" s="269">
        <v>156790</v>
      </c>
      <c r="D205" s="270">
        <v>10</v>
      </c>
      <c r="E205" s="225">
        <f t="shared" si="14"/>
        <v>58101</v>
      </c>
      <c r="F205" s="229">
        <f t="shared" si="15"/>
        <v>55478</v>
      </c>
      <c r="G205" s="226">
        <v>46841</v>
      </c>
      <c r="H205" s="201">
        <v>42829</v>
      </c>
      <c r="I205" s="226">
        <v>1318</v>
      </c>
      <c r="J205" s="201">
        <v>919</v>
      </c>
      <c r="K205" s="228">
        <v>8207</v>
      </c>
      <c r="L205" s="228">
        <v>1699</v>
      </c>
      <c r="M205" s="228">
        <v>36</v>
      </c>
      <c r="N205" s="202">
        <v>9984</v>
      </c>
      <c r="O205" s="202">
        <v>1746</v>
      </c>
      <c r="P205" s="202"/>
      <c r="Q205" s="228"/>
      <c r="R205" s="201"/>
      <c r="S205" s="225">
        <f t="shared" si="16"/>
        <v>0</v>
      </c>
      <c r="T205" s="229">
        <f t="shared" si="17"/>
        <v>0</v>
      </c>
      <c r="U205" s="226"/>
      <c r="V205" s="201"/>
      <c r="W205" s="226"/>
      <c r="X205" s="201"/>
      <c r="Y205" s="228"/>
      <c r="Z205" s="228"/>
      <c r="AA205" s="228"/>
      <c r="AB205" s="202"/>
      <c r="AC205" s="202"/>
      <c r="AD205" s="202"/>
      <c r="AE205" s="228"/>
      <c r="AF205" s="240"/>
    </row>
    <row r="206" spans="1:32" s="203" customFormat="1">
      <c r="A206" s="266" t="s">
        <v>131</v>
      </c>
      <c r="B206" s="267" t="s">
        <v>427</v>
      </c>
      <c r="C206" s="266">
        <v>156851</v>
      </c>
      <c r="D206" s="245">
        <v>10</v>
      </c>
      <c r="E206" s="225">
        <f t="shared" si="14"/>
        <v>33970</v>
      </c>
      <c r="F206" s="229">
        <f t="shared" si="15"/>
        <v>36843</v>
      </c>
      <c r="G206" s="226">
        <v>22219</v>
      </c>
      <c r="H206" s="201">
        <v>23233</v>
      </c>
      <c r="I206" s="226">
        <v>1233</v>
      </c>
      <c r="J206" s="201">
        <v>744</v>
      </c>
      <c r="K206" s="228">
        <v>10131</v>
      </c>
      <c r="L206" s="228">
        <v>387</v>
      </c>
      <c r="M206" s="228">
        <v>0</v>
      </c>
      <c r="N206" s="202">
        <v>12524</v>
      </c>
      <c r="O206" s="202">
        <v>342</v>
      </c>
      <c r="P206" s="202"/>
      <c r="Q206" s="228"/>
      <c r="R206" s="201"/>
      <c r="S206" s="225">
        <f t="shared" si="16"/>
        <v>0</v>
      </c>
      <c r="T206" s="229">
        <f t="shared" si="17"/>
        <v>0</v>
      </c>
      <c r="U206" s="226"/>
      <c r="V206" s="201"/>
      <c r="W206" s="226"/>
      <c r="X206" s="201"/>
      <c r="Y206" s="228"/>
      <c r="Z206" s="228"/>
      <c r="AA206" s="228"/>
      <c r="AB206" s="202"/>
      <c r="AC206" s="202"/>
      <c r="AD206" s="202"/>
      <c r="AE206" s="228"/>
      <c r="AF206" s="240"/>
    </row>
    <row r="207" spans="1:32" s="203" customFormat="1">
      <c r="A207" s="266" t="s">
        <v>131</v>
      </c>
      <c r="B207" s="267" t="s">
        <v>428</v>
      </c>
      <c r="C207" s="266">
        <v>156860</v>
      </c>
      <c r="D207" s="245">
        <v>10</v>
      </c>
      <c r="E207" s="225">
        <f t="shared" si="14"/>
        <v>52834</v>
      </c>
      <c r="F207" s="229">
        <f t="shared" si="15"/>
        <v>56179</v>
      </c>
      <c r="G207" s="226">
        <v>42976</v>
      </c>
      <c r="H207" s="201">
        <v>42717</v>
      </c>
      <c r="I207" s="226">
        <v>2466</v>
      </c>
      <c r="J207" s="201">
        <v>2615</v>
      </c>
      <c r="K207" s="228">
        <v>7362</v>
      </c>
      <c r="L207" s="228">
        <v>0</v>
      </c>
      <c r="M207" s="228">
        <v>30</v>
      </c>
      <c r="N207" s="202">
        <v>10847</v>
      </c>
      <c r="O207" s="202"/>
      <c r="P207" s="202"/>
      <c r="Q207" s="228"/>
      <c r="R207" s="201"/>
      <c r="S207" s="225">
        <f t="shared" si="16"/>
        <v>0</v>
      </c>
      <c r="T207" s="229">
        <f t="shared" si="17"/>
        <v>0</v>
      </c>
      <c r="U207" s="226"/>
      <c r="V207" s="201"/>
      <c r="W207" s="226"/>
      <c r="X207" s="201"/>
      <c r="Y207" s="228"/>
      <c r="Z207" s="228"/>
      <c r="AA207" s="228"/>
      <c r="AB207" s="202"/>
      <c r="AC207" s="202"/>
      <c r="AD207" s="202"/>
      <c r="AE207" s="228"/>
      <c r="AF207" s="240"/>
    </row>
    <row r="208" spans="1:32" s="203" customFormat="1">
      <c r="A208" s="266" t="s">
        <v>131</v>
      </c>
      <c r="B208" s="268" t="s">
        <v>431</v>
      </c>
      <c r="C208" s="269">
        <v>156338</v>
      </c>
      <c r="D208" s="270">
        <v>12</v>
      </c>
      <c r="E208" s="225">
        <f t="shared" si="14"/>
        <v>39134</v>
      </c>
      <c r="F208" s="229">
        <f t="shared" si="15"/>
        <v>39049</v>
      </c>
      <c r="G208" s="226">
        <v>37517</v>
      </c>
      <c r="H208" s="201">
        <v>36501</v>
      </c>
      <c r="I208" s="226">
        <v>276</v>
      </c>
      <c r="J208" s="201">
        <v>509</v>
      </c>
      <c r="K208" s="228">
        <v>1341</v>
      </c>
      <c r="L208" s="228"/>
      <c r="M208" s="228"/>
      <c r="N208" s="202">
        <v>2039</v>
      </c>
      <c r="O208" s="202"/>
      <c r="P208" s="202"/>
      <c r="Q208" s="228"/>
      <c r="R208" s="201"/>
      <c r="S208" s="225">
        <f t="shared" si="16"/>
        <v>0</v>
      </c>
      <c r="T208" s="229">
        <f t="shared" si="17"/>
        <v>0</v>
      </c>
      <c r="U208" s="226"/>
      <c r="V208" s="201"/>
      <c r="W208" s="226"/>
      <c r="X208" s="201"/>
      <c r="Y208" s="228"/>
      <c r="Z208" s="228"/>
      <c r="AA208" s="228"/>
      <c r="AB208" s="202"/>
      <c r="AC208" s="202"/>
      <c r="AD208" s="202"/>
      <c r="AE208" s="228"/>
      <c r="AF208" s="240"/>
    </row>
    <row r="209" spans="1:32" s="203" customFormat="1">
      <c r="A209" s="266" t="s">
        <v>131</v>
      </c>
      <c r="B209" s="357" t="s">
        <v>430</v>
      </c>
      <c r="C209" s="266">
        <v>157438</v>
      </c>
      <c r="D209" s="245">
        <v>12</v>
      </c>
      <c r="E209" s="225">
        <f t="shared" si="14"/>
        <v>44877</v>
      </c>
      <c r="F209" s="229">
        <f t="shared" si="15"/>
        <v>48812</v>
      </c>
      <c r="G209" s="226">
        <v>43711</v>
      </c>
      <c r="H209" s="201">
        <v>47844</v>
      </c>
      <c r="I209" s="226"/>
      <c r="J209" s="201">
        <v>73</v>
      </c>
      <c r="K209" s="228">
        <v>1166</v>
      </c>
      <c r="L209" s="228"/>
      <c r="M209" s="228"/>
      <c r="N209" s="202">
        <v>895</v>
      </c>
      <c r="O209" s="202"/>
      <c r="P209" s="202"/>
      <c r="Q209" s="228"/>
      <c r="R209" s="201"/>
      <c r="S209" s="225">
        <f t="shared" si="16"/>
        <v>0</v>
      </c>
      <c r="T209" s="229">
        <f t="shared" si="17"/>
        <v>0</v>
      </c>
      <c r="U209" s="226"/>
      <c r="V209" s="201"/>
      <c r="W209" s="226"/>
      <c r="X209" s="201"/>
      <c r="Y209" s="228"/>
      <c r="Z209" s="228"/>
      <c r="AA209" s="228"/>
      <c r="AB209" s="202"/>
      <c r="AC209" s="202"/>
      <c r="AD209" s="202"/>
      <c r="AE209" s="228"/>
      <c r="AF209" s="240"/>
    </row>
    <row r="210" spans="1:32" s="203" customFormat="1">
      <c r="A210" s="273" t="s">
        <v>130</v>
      </c>
      <c r="B210" s="271" t="s">
        <v>767</v>
      </c>
      <c r="C210" s="273">
        <v>159391</v>
      </c>
      <c r="D210" s="359">
        <v>1</v>
      </c>
      <c r="E210" s="225">
        <f t="shared" si="14"/>
        <v>734051</v>
      </c>
      <c r="F210" s="229">
        <f t="shared" si="15"/>
        <v>755896</v>
      </c>
      <c r="G210" s="226">
        <v>696685</v>
      </c>
      <c r="H210" s="201">
        <v>717006</v>
      </c>
      <c r="I210" s="226"/>
      <c r="J210" s="201"/>
      <c r="K210" s="228">
        <v>420</v>
      </c>
      <c r="L210" s="228">
        <v>0</v>
      </c>
      <c r="M210" s="228">
        <v>0</v>
      </c>
      <c r="N210" s="738"/>
      <c r="O210" s="738"/>
      <c r="P210" s="738"/>
      <c r="Q210" s="228">
        <v>36946</v>
      </c>
      <c r="R210" s="201">
        <v>38890</v>
      </c>
      <c r="S210" s="225">
        <f t="shared" si="16"/>
        <v>104927.5</v>
      </c>
      <c r="T210" s="229">
        <f t="shared" si="17"/>
        <v>106587.5</v>
      </c>
      <c r="U210" s="226">
        <v>102923.5</v>
      </c>
      <c r="V210" s="201">
        <v>106587.5</v>
      </c>
      <c r="W210" s="226"/>
      <c r="X210" s="201"/>
      <c r="Y210" s="228">
        <v>336</v>
      </c>
      <c r="Z210" s="228">
        <v>1668</v>
      </c>
      <c r="AA210" s="228">
        <v>0</v>
      </c>
      <c r="AB210" s="738"/>
      <c r="AC210" s="738"/>
      <c r="AD210" s="738"/>
      <c r="AE210" s="228"/>
      <c r="AF210" s="240"/>
    </row>
    <row r="211" spans="1:32" s="203" customFormat="1">
      <c r="A211" s="273" t="s">
        <v>130</v>
      </c>
      <c r="B211" s="271" t="s">
        <v>768</v>
      </c>
      <c r="C211" s="273">
        <v>159647</v>
      </c>
      <c r="D211" s="359">
        <v>2</v>
      </c>
      <c r="E211" s="225">
        <f t="shared" si="14"/>
        <v>244752</v>
      </c>
      <c r="F211" s="229">
        <f t="shared" si="15"/>
        <v>232931</v>
      </c>
      <c r="G211" s="226">
        <v>241418</v>
      </c>
      <c r="H211" s="201">
        <v>231653</v>
      </c>
      <c r="I211" s="226"/>
      <c r="J211" s="201"/>
      <c r="K211" s="228">
        <v>3283</v>
      </c>
      <c r="L211" s="228">
        <v>51</v>
      </c>
      <c r="M211" s="228">
        <v>0</v>
      </c>
      <c r="N211" s="202">
        <v>1278</v>
      </c>
      <c r="O211" s="202">
        <v>0</v>
      </c>
      <c r="P211" s="202">
        <v>0</v>
      </c>
      <c r="Q211" s="228"/>
      <c r="R211" s="201"/>
      <c r="S211" s="225">
        <f t="shared" si="16"/>
        <v>28546</v>
      </c>
      <c r="T211" s="229">
        <f t="shared" si="17"/>
        <v>29304</v>
      </c>
      <c r="U211" s="226">
        <v>24109</v>
      </c>
      <c r="V211" s="201">
        <v>28728</v>
      </c>
      <c r="W211" s="226"/>
      <c r="X211" s="201"/>
      <c r="Y211" s="228">
        <v>3249</v>
      </c>
      <c r="Z211" s="228">
        <v>1188</v>
      </c>
      <c r="AA211" s="228">
        <v>0</v>
      </c>
      <c r="AB211" s="202">
        <v>276</v>
      </c>
      <c r="AC211" s="202">
        <v>300</v>
      </c>
      <c r="AD211" s="202">
        <v>0</v>
      </c>
      <c r="AE211" s="228"/>
      <c r="AF211" s="240"/>
    </row>
    <row r="212" spans="1:32" s="203" customFormat="1">
      <c r="A212" s="273" t="s">
        <v>130</v>
      </c>
      <c r="B212" s="271" t="s">
        <v>769</v>
      </c>
      <c r="C212" s="273">
        <v>160658</v>
      </c>
      <c r="D212" s="359">
        <v>2</v>
      </c>
      <c r="E212" s="225">
        <f t="shared" si="14"/>
        <v>403435</v>
      </c>
      <c r="F212" s="229">
        <f t="shared" si="15"/>
        <v>399599</v>
      </c>
      <c r="G212" s="226">
        <v>403435</v>
      </c>
      <c r="H212" s="201">
        <v>399599</v>
      </c>
      <c r="I212" s="226"/>
      <c r="J212" s="201"/>
      <c r="K212" s="228">
        <v>0</v>
      </c>
      <c r="L212" s="228">
        <v>0</v>
      </c>
      <c r="M212" s="228">
        <v>0</v>
      </c>
      <c r="N212" s="202"/>
      <c r="O212" s="202"/>
      <c r="P212" s="202"/>
      <c r="Q212" s="228"/>
      <c r="R212" s="201"/>
      <c r="S212" s="225">
        <f t="shared" si="16"/>
        <v>27385</v>
      </c>
      <c r="T212" s="229">
        <f t="shared" si="17"/>
        <v>27535</v>
      </c>
      <c r="U212" s="226">
        <v>27385</v>
      </c>
      <c r="V212" s="201">
        <v>27535</v>
      </c>
      <c r="W212" s="226"/>
      <c r="X212" s="201"/>
      <c r="Y212" s="228">
        <v>0</v>
      </c>
      <c r="Z212" s="228">
        <v>0</v>
      </c>
      <c r="AA212" s="228">
        <v>0</v>
      </c>
      <c r="AB212" s="202"/>
      <c r="AC212" s="202"/>
      <c r="AD212" s="202"/>
      <c r="AE212" s="228"/>
      <c r="AF212" s="240"/>
    </row>
    <row r="213" spans="1:32" s="203" customFormat="1">
      <c r="A213" s="273" t="s">
        <v>130</v>
      </c>
      <c r="B213" s="271" t="s">
        <v>770</v>
      </c>
      <c r="C213" s="273">
        <v>159939</v>
      </c>
      <c r="D213" s="359">
        <v>2</v>
      </c>
      <c r="E213" s="225">
        <f t="shared" si="14"/>
        <v>229353</v>
      </c>
      <c r="F213" s="229">
        <f t="shared" si="15"/>
        <v>238184</v>
      </c>
      <c r="G213" s="226">
        <v>229353</v>
      </c>
      <c r="H213" s="201">
        <v>226749</v>
      </c>
      <c r="I213" s="226"/>
      <c r="J213" s="201"/>
      <c r="K213" s="228">
        <v>0</v>
      </c>
      <c r="L213" s="228">
        <v>0</v>
      </c>
      <c r="M213" s="228">
        <v>0</v>
      </c>
      <c r="N213" s="202">
        <v>11336</v>
      </c>
      <c r="O213" s="202">
        <v>99</v>
      </c>
      <c r="P213" s="202">
        <v>0</v>
      </c>
      <c r="Q213" s="228"/>
      <c r="R213" s="201"/>
      <c r="S213" s="225">
        <f t="shared" si="16"/>
        <v>42422</v>
      </c>
      <c r="T213" s="229">
        <f t="shared" si="17"/>
        <v>45434</v>
      </c>
      <c r="U213" s="226">
        <v>42422</v>
      </c>
      <c r="V213" s="201">
        <v>44659</v>
      </c>
      <c r="W213" s="226"/>
      <c r="X213" s="201"/>
      <c r="Y213" s="228">
        <v>0</v>
      </c>
      <c r="Z213" s="228">
        <v>0</v>
      </c>
      <c r="AA213" s="228">
        <v>0</v>
      </c>
      <c r="AB213" s="202">
        <v>715</v>
      </c>
      <c r="AC213" s="202">
        <v>36</v>
      </c>
      <c r="AD213" s="202">
        <v>24</v>
      </c>
      <c r="AE213" s="228"/>
      <c r="AF213" s="240"/>
    </row>
    <row r="214" spans="1:32" s="203" customFormat="1">
      <c r="A214" s="273" t="s">
        <v>130</v>
      </c>
      <c r="B214" s="271" t="s">
        <v>771</v>
      </c>
      <c r="C214" s="273">
        <v>160612</v>
      </c>
      <c r="D214" s="359">
        <v>3</v>
      </c>
      <c r="E214" s="225">
        <f t="shared" si="14"/>
        <v>364664</v>
      </c>
      <c r="F214" s="229">
        <f t="shared" si="15"/>
        <v>385243</v>
      </c>
      <c r="G214" s="226">
        <v>341161</v>
      </c>
      <c r="H214" s="201">
        <v>361116</v>
      </c>
      <c r="I214" s="226"/>
      <c r="J214" s="201"/>
      <c r="K214" s="228">
        <v>20914</v>
      </c>
      <c r="L214" s="228">
        <v>1269</v>
      </c>
      <c r="M214" s="228">
        <v>1320</v>
      </c>
      <c r="N214" s="202">
        <v>22411</v>
      </c>
      <c r="O214" s="202">
        <v>957</v>
      </c>
      <c r="P214" s="202">
        <v>759</v>
      </c>
      <c r="Q214" s="228"/>
      <c r="R214" s="201"/>
      <c r="S214" s="225">
        <f t="shared" si="16"/>
        <v>23479</v>
      </c>
      <c r="T214" s="229">
        <f t="shared" si="17"/>
        <v>23588</v>
      </c>
      <c r="U214" s="226">
        <v>20672</v>
      </c>
      <c r="V214" s="201">
        <v>21808</v>
      </c>
      <c r="W214" s="226"/>
      <c r="X214" s="201"/>
      <c r="Y214" s="228">
        <v>2717</v>
      </c>
      <c r="Z214" s="228">
        <v>90</v>
      </c>
      <c r="AA214" s="228">
        <v>0</v>
      </c>
      <c r="AB214" s="202">
        <v>1690</v>
      </c>
      <c r="AC214" s="202">
        <v>90</v>
      </c>
      <c r="AD214" s="202">
        <v>0</v>
      </c>
      <c r="AE214" s="228"/>
      <c r="AF214" s="240"/>
    </row>
    <row r="215" spans="1:32" s="203" customFormat="1">
      <c r="A215" s="273" t="s">
        <v>130</v>
      </c>
      <c r="B215" s="271" t="s">
        <v>772</v>
      </c>
      <c r="C215" s="273">
        <v>160621</v>
      </c>
      <c r="D215" s="359">
        <v>3</v>
      </c>
      <c r="E215" s="225">
        <f t="shared" si="14"/>
        <v>232290</v>
      </c>
      <c r="F215" s="229">
        <f t="shared" si="15"/>
        <v>216677</v>
      </c>
      <c r="G215" s="226">
        <v>232290</v>
      </c>
      <c r="H215" s="201">
        <v>216677</v>
      </c>
      <c r="I215" s="226"/>
      <c r="J215" s="201"/>
      <c r="K215" s="228">
        <v>0</v>
      </c>
      <c r="L215" s="228">
        <v>0</v>
      </c>
      <c r="M215" s="228">
        <v>0</v>
      </c>
      <c r="N215" s="202"/>
      <c r="O215" s="202"/>
      <c r="P215" s="202"/>
      <c r="Q215" s="228"/>
      <c r="R215" s="201"/>
      <c r="S215" s="225">
        <f t="shared" si="16"/>
        <v>18748</v>
      </c>
      <c r="T215" s="229">
        <f t="shared" si="17"/>
        <v>18359</v>
      </c>
      <c r="U215" s="226">
        <v>18748</v>
      </c>
      <c r="V215" s="201">
        <v>18359</v>
      </c>
      <c r="W215" s="226"/>
      <c r="X215" s="201"/>
      <c r="Y215" s="228">
        <v>0</v>
      </c>
      <c r="Z215" s="228">
        <v>0</v>
      </c>
      <c r="AA215" s="228">
        <v>0</v>
      </c>
      <c r="AB215" s="202"/>
      <c r="AC215" s="202"/>
      <c r="AD215" s="202"/>
      <c r="AE215" s="228"/>
      <c r="AF215" s="240"/>
    </row>
    <row r="216" spans="1:32" s="203" customFormat="1">
      <c r="A216" s="273" t="s">
        <v>130</v>
      </c>
      <c r="B216" s="271" t="s">
        <v>773</v>
      </c>
      <c r="C216" s="273">
        <v>159993</v>
      </c>
      <c r="D216" s="359">
        <v>3</v>
      </c>
      <c r="E216" s="225">
        <f t="shared" si="14"/>
        <v>203852</v>
      </c>
      <c r="F216" s="229">
        <f t="shared" si="15"/>
        <v>205494</v>
      </c>
      <c r="G216" s="226">
        <v>198125</v>
      </c>
      <c r="H216" s="201">
        <v>195240</v>
      </c>
      <c r="I216" s="226"/>
      <c r="J216" s="201"/>
      <c r="K216" s="228">
        <v>5727</v>
      </c>
      <c r="L216" s="228">
        <v>0</v>
      </c>
      <c r="M216" s="228">
        <v>0</v>
      </c>
      <c r="N216" s="202">
        <v>10254</v>
      </c>
      <c r="O216" s="202">
        <v>0</v>
      </c>
      <c r="P216" s="202">
        <v>0</v>
      </c>
      <c r="Q216" s="228"/>
      <c r="R216" s="201"/>
      <c r="S216" s="225">
        <f t="shared" si="16"/>
        <v>22852</v>
      </c>
      <c r="T216" s="229">
        <f t="shared" si="17"/>
        <v>32909</v>
      </c>
      <c r="U216" s="226">
        <v>21181</v>
      </c>
      <c r="V216" s="201">
        <v>29540</v>
      </c>
      <c r="W216" s="226"/>
      <c r="X216" s="201"/>
      <c r="Y216" s="228">
        <v>1671</v>
      </c>
      <c r="Z216" s="228">
        <v>0</v>
      </c>
      <c r="AA216" s="228">
        <v>0</v>
      </c>
      <c r="AB216" s="202">
        <v>3369</v>
      </c>
      <c r="AC216" s="202">
        <v>0</v>
      </c>
      <c r="AD216" s="202">
        <v>0</v>
      </c>
      <c r="AE216" s="228"/>
      <c r="AF216" s="240"/>
    </row>
    <row r="217" spans="1:32" s="203" customFormat="1">
      <c r="A217" s="273" t="s">
        <v>130</v>
      </c>
      <c r="B217" s="271" t="s">
        <v>774</v>
      </c>
      <c r="C217" s="273">
        <v>159009</v>
      </c>
      <c r="D217" s="360">
        <v>4</v>
      </c>
      <c r="E217" s="225">
        <f t="shared" si="14"/>
        <v>139800</v>
      </c>
      <c r="F217" s="229">
        <f t="shared" si="15"/>
        <v>143239</v>
      </c>
      <c r="G217" s="226">
        <v>139212</v>
      </c>
      <c r="H217" s="201">
        <v>142624</v>
      </c>
      <c r="I217" s="226"/>
      <c r="J217" s="201"/>
      <c r="K217" s="228">
        <v>504</v>
      </c>
      <c r="L217" s="228">
        <v>84</v>
      </c>
      <c r="M217" s="228">
        <v>0</v>
      </c>
      <c r="N217" s="202">
        <v>513</v>
      </c>
      <c r="O217" s="202">
        <v>102</v>
      </c>
      <c r="P217" s="202">
        <v>0</v>
      </c>
      <c r="Q217" s="228"/>
      <c r="R217" s="201"/>
      <c r="S217" s="225">
        <f t="shared" si="16"/>
        <v>8678</v>
      </c>
      <c r="T217" s="229">
        <f t="shared" si="17"/>
        <v>9995</v>
      </c>
      <c r="U217" s="226">
        <v>7910</v>
      </c>
      <c r="V217" s="201">
        <v>8561</v>
      </c>
      <c r="W217" s="226"/>
      <c r="X217" s="201"/>
      <c r="Y217" s="228">
        <v>768</v>
      </c>
      <c r="Z217" s="228">
        <v>0</v>
      </c>
      <c r="AA217" s="228">
        <v>0</v>
      </c>
      <c r="AB217" s="202">
        <v>1434</v>
      </c>
      <c r="AC217" s="202">
        <v>0</v>
      </c>
      <c r="AD217" s="202">
        <v>0</v>
      </c>
      <c r="AE217" s="228"/>
      <c r="AF217" s="240"/>
    </row>
    <row r="218" spans="1:32" s="203" customFormat="1">
      <c r="A218" s="273" t="s">
        <v>130</v>
      </c>
      <c r="B218" s="271" t="s">
        <v>775</v>
      </c>
      <c r="C218" s="273">
        <v>159416</v>
      </c>
      <c r="D218" s="359">
        <v>4</v>
      </c>
      <c r="E218" s="225">
        <f t="shared" si="14"/>
        <v>85838</v>
      </c>
      <c r="F218" s="229">
        <f t="shared" si="15"/>
        <v>89547</v>
      </c>
      <c r="G218" s="226">
        <v>85838</v>
      </c>
      <c r="H218" s="201">
        <v>88083</v>
      </c>
      <c r="I218" s="226"/>
      <c r="J218" s="201"/>
      <c r="K218" s="228">
        <v>0</v>
      </c>
      <c r="L218" s="228">
        <v>0</v>
      </c>
      <c r="M218" s="228">
        <v>0</v>
      </c>
      <c r="N218" s="202">
        <v>1464</v>
      </c>
      <c r="O218" s="202">
        <v>0</v>
      </c>
      <c r="P218" s="202">
        <v>0</v>
      </c>
      <c r="Q218" s="228"/>
      <c r="R218" s="201"/>
      <c r="S218" s="225">
        <f t="shared" si="16"/>
        <v>6113</v>
      </c>
      <c r="T218" s="229">
        <f t="shared" si="17"/>
        <v>6142</v>
      </c>
      <c r="U218" s="226">
        <v>6113</v>
      </c>
      <c r="V218" s="201">
        <v>5917</v>
      </c>
      <c r="W218" s="226"/>
      <c r="X218" s="201"/>
      <c r="Y218" s="228">
        <v>0</v>
      </c>
      <c r="Z218" s="228">
        <v>0</v>
      </c>
      <c r="AA218" s="228">
        <v>0</v>
      </c>
      <c r="AB218" s="202">
        <v>225</v>
      </c>
      <c r="AC218" s="202">
        <v>0</v>
      </c>
      <c r="AD218" s="202">
        <v>0</v>
      </c>
      <c r="AE218" s="228"/>
      <c r="AF218" s="240"/>
    </row>
    <row r="219" spans="1:32" s="203" customFormat="1">
      <c r="A219" s="273" t="s">
        <v>130</v>
      </c>
      <c r="B219" s="271" t="s">
        <v>776</v>
      </c>
      <c r="C219" s="273">
        <v>159717</v>
      </c>
      <c r="D219" s="359">
        <v>4</v>
      </c>
      <c r="E219" s="225">
        <f t="shared" si="14"/>
        <v>202823</v>
      </c>
      <c r="F219" s="229">
        <f t="shared" si="15"/>
        <v>217715</v>
      </c>
      <c r="G219" s="226">
        <v>192375</v>
      </c>
      <c r="H219" s="201">
        <v>203839</v>
      </c>
      <c r="I219" s="226"/>
      <c r="J219" s="201"/>
      <c r="K219" s="228">
        <v>9420</v>
      </c>
      <c r="L219" s="228">
        <v>153</v>
      </c>
      <c r="M219" s="228">
        <v>875</v>
      </c>
      <c r="N219" s="202">
        <v>12176</v>
      </c>
      <c r="O219" s="202">
        <v>234</v>
      </c>
      <c r="P219" s="202">
        <v>1466</v>
      </c>
      <c r="Q219" s="228"/>
      <c r="R219" s="201"/>
      <c r="S219" s="225">
        <f t="shared" si="16"/>
        <v>15696</v>
      </c>
      <c r="T219" s="229">
        <f t="shared" si="17"/>
        <v>17520</v>
      </c>
      <c r="U219" s="226">
        <v>13782</v>
      </c>
      <c r="V219" s="201">
        <v>14687</v>
      </c>
      <c r="W219" s="226"/>
      <c r="X219" s="201"/>
      <c r="Y219" s="228">
        <v>1422</v>
      </c>
      <c r="Z219" s="228">
        <v>492</v>
      </c>
      <c r="AA219" s="228">
        <v>0</v>
      </c>
      <c r="AB219" s="202">
        <v>2038</v>
      </c>
      <c r="AC219" s="202">
        <v>699</v>
      </c>
      <c r="AD219" s="202">
        <v>96</v>
      </c>
      <c r="AE219" s="228"/>
      <c r="AF219" s="240"/>
    </row>
    <row r="220" spans="1:32" s="203" customFormat="1">
      <c r="A220" s="273" t="s">
        <v>130</v>
      </c>
      <c r="B220" s="271" t="s">
        <v>777</v>
      </c>
      <c r="C220" s="273">
        <v>159966</v>
      </c>
      <c r="D220" s="359">
        <v>4</v>
      </c>
      <c r="E220" s="225">
        <f t="shared" si="14"/>
        <v>169903</v>
      </c>
      <c r="F220" s="229">
        <f t="shared" si="15"/>
        <v>180695</v>
      </c>
      <c r="G220" s="226">
        <v>163048</v>
      </c>
      <c r="H220" s="201">
        <v>173956</v>
      </c>
      <c r="I220" s="226"/>
      <c r="J220" s="201"/>
      <c r="K220" s="228">
        <v>6678</v>
      </c>
      <c r="L220" s="228">
        <v>177</v>
      </c>
      <c r="M220" s="228">
        <v>0</v>
      </c>
      <c r="N220" s="202">
        <v>6574</v>
      </c>
      <c r="O220" s="202">
        <v>165</v>
      </c>
      <c r="P220" s="202">
        <v>0</v>
      </c>
      <c r="Q220" s="228"/>
      <c r="R220" s="201"/>
      <c r="S220" s="225">
        <f t="shared" si="16"/>
        <v>11263</v>
      </c>
      <c r="T220" s="229">
        <f t="shared" si="17"/>
        <v>9924</v>
      </c>
      <c r="U220" s="226">
        <v>11041</v>
      </c>
      <c r="V220" s="201">
        <v>9633</v>
      </c>
      <c r="W220" s="226"/>
      <c r="X220" s="201"/>
      <c r="Y220" s="228">
        <v>222</v>
      </c>
      <c r="Z220" s="228">
        <v>0</v>
      </c>
      <c r="AA220" s="228">
        <v>0</v>
      </c>
      <c r="AB220" s="202">
        <v>291</v>
      </c>
      <c r="AC220" s="202">
        <v>0</v>
      </c>
      <c r="AD220" s="202">
        <v>0</v>
      </c>
      <c r="AE220" s="228"/>
      <c r="AF220" s="240"/>
    </row>
    <row r="221" spans="1:32" s="203" customFormat="1">
      <c r="A221" s="273" t="s">
        <v>130</v>
      </c>
      <c r="B221" s="271" t="s">
        <v>778</v>
      </c>
      <c r="C221" s="273">
        <v>160038</v>
      </c>
      <c r="D221" s="359">
        <v>4</v>
      </c>
      <c r="E221" s="225">
        <f t="shared" si="14"/>
        <v>221990</v>
      </c>
      <c r="F221" s="229">
        <f t="shared" si="15"/>
        <v>274532</v>
      </c>
      <c r="G221" s="226">
        <v>179084</v>
      </c>
      <c r="H221" s="201">
        <v>217933</v>
      </c>
      <c r="I221" s="226"/>
      <c r="J221" s="201"/>
      <c r="K221" s="228">
        <v>38077</v>
      </c>
      <c r="L221" s="228">
        <v>4829</v>
      </c>
      <c r="M221" s="228">
        <v>0</v>
      </c>
      <c r="N221" s="202">
        <v>52954</v>
      </c>
      <c r="O221" s="202">
        <v>3645</v>
      </c>
      <c r="P221" s="202">
        <v>0</v>
      </c>
      <c r="Q221" s="228"/>
      <c r="R221" s="201"/>
      <c r="S221" s="225">
        <f t="shared" si="16"/>
        <v>17600</v>
      </c>
      <c r="T221" s="229">
        <f t="shared" si="17"/>
        <v>29199</v>
      </c>
      <c r="U221" s="226">
        <v>8496</v>
      </c>
      <c r="V221" s="201">
        <v>17142</v>
      </c>
      <c r="W221" s="226"/>
      <c r="X221" s="201"/>
      <c r="Y221" s="228">
        <v>8157</v>
      </c>
      <c r="Z221" s="228">
        <v>947</v>
      </c>
      <c r="AA221" s="228">
        <v>0</v>
      </c>
      <c r="AB221" s="202">
        <v>10974</v>
      </c>
      <c r="AC221" s="202">
        <v>1083</v>
      </c>
      <c r="AD221" s="202">
        <v>0</v>
      </c>
      <c r="AE221" s="228"/>
      <c r="AF221" s="240"/>
    </row>
    <row r="222" spans="1:32" s="203" customFormat="1">
      <c r="A222" s="273" t="s">
        <v>130</v>
      </c>
      <c r="B222" s="271" t="s">
        <v>779</v>
      </c>
      <c r="C222" s="273">
        <v>160630</v>
      </c>
      <c r="D222" s="359">
        <v>5</v>
      </c>
      <c r="E222" s="225">
        <f t="shared" si="14"/>
        <v>51998</v>
      </c>
      <c r="F222" s="229">
        <f t="shared" si="15"/>
        <v>60291</v>
      </c>
      <c r="G222" s="226">
        <v>51998</v>
      </c>
      <c r="H222" s="201">
        <v>60291</v>
      </c>
      <c r="I222" s="226"/>
      <c r="J222" s="201"/>
      <c r="K222" s="228">
        <v>0</v>
      </c>
      <c r="L222" s="228">
        <v>0</v>
      </c>
      <c r="M222" s="228">
        <v>0</v>
      </c>
      <c r="N222" s="202"/>
      <c r="O222" s="202"/>
      <c r="P222" s="202"/>
      <c r="Q222" s="228"/>
      <c r="R222" s="201"/>
      <c r="S222" s="225">
        <f t="shared" si="16"/>
        <v>7962</v>
      </c>
      <c r="T222" s="229">
        <f t="shared" si="17"/>
        <v>9599</v>
      </c>
      <c r="U222" s="226">
        <v>7962</v>
      </c>
      <c r="V222" s="201">
        <v>9599</v>
      </c>
      <c r="W222" s="226"/>
      <c r="X222" s="201"/>
      <c r="Y222" s="228">
        <v>0</v>
      </c>
      <c r="Z222" s="228">
        <v>0</v>
      </c>
      <c r="AA222" s="228">
        <v>0</v>
      </c>
      <c r="AB222" s="202"/>
      <c r="AC222" s="202"/>
      <c r="AD222" s="202"/>
      <c r="AE222" s="228"/>
      <c r="AF222" s="240"/>
    </row>
    <row r="223" spans="1:32" s="203" customFormat="1">
      <c r="A223" s="273" t="s">
        <v>130</v>
      </c>
      <c r="B223" s="271" t="s">
        <v>780</v>
      </c>
      <c r="C223" s="273">
        <v>159382</v>
      </c>
      <c r="D223" s="359">
        <v>7</v>
      </c>
      <c r="E223" s="225">
        <f t="shared" si="14"/>
        <v>57778</v>
      </c>
      <c r="F223" s="229">
        <f t="shared" si="15"/>
        <v>59004</v>
      </c>
      <c r="G223" s="226">
        <v>55297</v>
      </c>
      <c r="H223" s="201">
        <v>58126</v>
      </c>
      <c r="I223" s="226"/>
      <c r="J223" s="201"/>
      <c r="K223" s="228">
        <v>2481</v>
      </c>
      <c r="L223" s="228">
        <v>0</v>
      </c>
      <c r="M223" s="228">
        <v>0</v>
      </c>
      <c r="N223" s="202">
        <v>878</v>
      </c>
      <c r="O223" s="202">
        <v>0</v>
      </c>
      <c r="P223" s="202">
        <v>0</v>
      </c>
      <c r="Q223" s="228"/>
      <c r="R223" s="201"/>
      <c r="S223" s="225">
        <f t="shared" si="16"/>
        <v>0</v>
      </c>
      <c r="T223" s="229">
        <f t="shared" si="17"/>
        <v>0</v>
      </c>
      <c r="U223" s="226">
        <v>0</v>
      </c>
      <c r="V223" s="201"/>
      <c r="W223" s="226"/>
      <c r="X223" s="201"/>
      <c r="Y223" s="228">
        <v>0</v>
      </c>
      <c r="Z223" s="228">
        <v>0</v>
      </c>
      <c r="AA223" s="228">
        <v>0</v>
      </c>
      <c r="AB223" s="202">
        <v>0</v>
      </c>
      <c r="AC223" s="202">
        <v>0</v>
      </c>
      <c r="AD223" s="202">
        <v>0</v>
      </c>
      <c r="AE223" s="228"/>
      <c r="AF223" s="240"/>
    </row>
    <row r="224" spans="1:32" s="203" customFormat="1">
      <c r="A224" s="273" t="s">
        <v>130</v>
      </c>
      <c r="B224" s="271" t="s">
        <v>781</v>
      </c>
      <c r="C224" s="273">
        <v>158662</v>
      </c>
      <c r="D224" s="359">
        <v>8</v>
      </c>
      <c r="E224" s="225">
        <f t="shared" si="14"/>
        <v>267144</v>
      </c>
      <c r="F224" s="229">
        <f t="shared" si="15"/>
        <v>308612</v>
      </c>
      <c r="G224" s="226">
        <v>237295</v>
      </c>
      <c r="H224" s="201">
        <v>290744</v>
      </c>
      <c r="I224" s="226"/>
      <c r="J224" s="201"/>
      <c r="K224" s="228">
        <v>25442</v>
      </c>
      <c r="L224" s="228">
        <v>1890</v>
      </c>
      <c r="M224" s="228">
        <v>2517</v>
      </c>
      <c r="N224" s="202">
        <v>14344</v>
      </c>
      <c r="O224" s="202">
        <v>1775</v>
      </c>
      <c r="P224" s="202">
        <v>1749</v>
      </c>
      <c r="Q224" s="228"/>
      <c r="R224" s="201"/>
      <c r="S224" s="225">
        <f t="shared" si="16"/>
        <v>0</v>
      </c>
      <c r="T224" s="229">
        <f t="shared" si="17"/>
        <v>0</v>
      </c>
      <c r="U224" s="226">
        <v>0</v>
      </c>
      <c r="V224" s="201"/>
      <c r="W224" s="226"/>
      <c r="X224" s="201"/>
      <c r="Y224" s="228">
        <v>0</v>
      </c>
      <c r="Z224" s="228">
        <v>0</v>
      </c>
      <c r="AA224" s="228">
        <v>0</v>
      </c>
      <c r="AB224" s="202">
        <v>0</v>
      </c>
      <c r="AC224" s="202">
        <v>0</v>
      </c>
      <c r="AD224" s="202">
        <v>0</v>
      </c>
      <c r="AE224" s="228"/>
      <c r="AF224" s="240"/>
    </row>
    <row r="225" spans="1:32" s="203" customFormat="1">
      <c r="A225" s="273" t="s">
        <v>130</v>
      </c>
      <c r="B225" s="272" t="s">
        <v>782</v>
      </c>
      <c r="C225" s="273">
        <v>437103</v>
      </c>
      <c r="D225" s="359">
        <v>9</v>
      </c>
      <c r="E225" s="225">
        <f t="shared" si="14"/>
        <v>141599</v>
      </c>
      <c r="F225" s="229">
        <f t="shared" si="15"/>
        <v>158272</v>
      </c>
      <c r="G225" s="226">
        <v>134524</v>
      </c>
      <c r="H225" s="201">
        <v>152573</v>
      </c>
      <c r="I225" s="226"/>
      <c r="J225" s="201"/>
      <c r="K225" s="228">
        <v>7075</v>
      </c>
      <c r="L225" s="228">
        <v>0</v>
      </c>
      <c r="M225" s="228">
        <v>0</v>
      </c>
      <c r="N225" s="202">
        <v>5699</v>
      </c>
      <c r="O225" s="202">
        <v>0</v>
      </c>
      <c r="P225" s="202">
        <v>0</v>
      </c>
      <c r="Q225" s="228"/>
      <c r="R225" s="201"/>
      <c r="S225" s="225">
        <f t="shared" si="16"/>
        <v>0</v>
      </c>
      <c r="T225" s="229">
        <f t="shared" si="17"/>
        <v>0</v>
      </c>
      <c r="U225" s="226">
        <v>0</v>
      </c>
      <c r="V225" s="201"/>
      <c r="W225" s="226"/>
      <c r="X225" s="201"/>
      <c r="Y225" s="228">
        <v>0</v>
      </c>
      <c r="Z225" s="228">
        <v>0</v>
      </c>
      <c r="AA225" s="228">
        <v>0</v>
      </c>
      <c r="AB225" s="202">
        <v>0</v>
      </c>
      <c r="AC225" s="202">
        <v>0</v>
      </c>
      <c r="AD225" s="202">
        <v>0</v>
      </c>
      <c r="AE225" s="228"/>
      <c r="AF225" s="240"/>
    </row>
    <row r="226" spans="1:32" s="203" customFormat="1">
      <c r="A226" s="273" t="s">
        <v>130</v>
      </c>
      <c r="B226" s="271" t="s">
        <v>783</v>
      </c>
      <c r="C226" s="273">
        <v>158431</v>
      </c>
      <c r="D226" s="359">
        <v>9</v>
      </c>
      <c r="E226" s="225">
        <f t="shared" si="14"/>
        <v>105416</v>
      </c>
      <c r="F226" s="229">
        <f t="shared" si="15"/>
        <v>123946</v>
      </c>
      <c r="G226" s="226">
        <v>89477</v>
      </c>
      <c r="H226" s="201">
        <v>104823</v>
      </c>
      <c r="I226" s="226"/>
      <c r="J226" s="201"/>
      <c r="K226" s="228">
        <v>15939</v>
      </c>
      <c r="L226" s="228">
        <v>0</v>
      </c>
      <c r="M226" s="228">
        <v>0</v>
      </c>
      <c r="N226" s="202">
        <v>18450</v>
      </c>
      <c r="O226" s="202">
        <v>673</v>
      </c>
      <c r="P226" s="202">
        <v>0</v>
      </c>
      <c r="Q226" s="228"/>
      <c r="R226" s="201"/>
      <c r="S226" s="225">
        <f t="shared" si="16"/>
        <v>0</v>
      </c>
      <c r="T226" s="229">
        <f t="shared" si="17"/>
        <v>0</v>
      </c>
      <c r="U226" s="226">
        <v>0</v>
      </c>
      <c r="V226" s="201"/>
      <c r="W226" s="226"/>
      <c r="X226" s="201"/>
      <c r="Y226" s="228">
        <v>0</v>
      </c>
      <c r="Z226" s="228">
        <v>0</v>
      </c>
      <c r="AA226" s="228">
        <v>0</v>
      </c>
      <c r="AB226" s="202">
        <v>0</v>
      </c>
      <c r="AC226" s="202">
        <v>0</v>
      </c>
      <c r="AD226" s="202">
        <v>0</v>
      </c>
      <c r="AE226" s="228"/>
      <c r="AF226" s="240"/>
    </row>
    <row r="227" spans="1:32" s="203" customFormat="1">
      <c r="A227" s="273" t="s">
        <v>130</v>
      </c>
      <c r="B227" s="361" t="s">
        <v>784</v>
      </c>
      <c r="C227" s="273">
        <v>159407</v>
      </c>
      <c r="D227" s="359">
        <v>9</v>
      </c>
      <c r="E227" s="225">
        <f t="shared" si="14"/>
        <v>59784</v>
      </c>
      <c r="F227" s="229">
        <f t="shared" si="15"/>
        <v>62184</v>
      </c>
      <c r="G227" s="226">
        <v>58277</v>
      </c>
      <c r="H227" s="201">
        <v>60994</v>
      </c>
      <c r="I227" s="226"/>
      <c r="J227" s="201"/>
      <c r="K227" s="228">
        <v>1371</v>
      </c>
      <c r="L227" s="228">
        <v>136</v>
      </c>
      <c r="M227" s="228">
        <v>0</v>
      </c>
      <c r="N227" s="202">
        <v>1190</v>
      </c>
      <c r="O227" s="202">
        <v>0</v>
      </c>
      <c r="P227" s="202">
        <v>0</v>
      </c>
      <c r="Q227" s="228"/>
      <c r="R227" s="201"/>
      <c r="S227" s="225">
        <f t="shared" si="16"/>
        <v>0</v>
      </c>
      <c r="T227" s="229">
        <f t="shared" si="17"/>
        <v>0</v>
      </c>
      <c r="U227" s="226">
        <v>0</v>
      </c>
      <c r="V227" s="201"/>
      <c r="W227" s="226"/>
      <c r="X227" s="201"/>
      <c r="Y227" s="228">
        <v>0</v>
      </c>
      <c r="Z227" s="228">
        <v>0</v>
      </c>
      <c r="AA227" s="228">
        <v>0</v>
      </c>
      <c r="AB227" s="202">
        <v>0</v>
      </c>
      <c r="AC227" s="202">
        <v>0</v>
      </c>
      <c r="AD227" s="202">
        <v>0</v>
      </c>
      <c r="AE227" s="228"/>
      <c r="AF227" s="240"/>
    </row>
    <row r="228" spans="1:32" s="203" customFormat="1">
      <c r="A228" s="273" t="s">
        <v>130</v>
      </c>
      <c r="B228" s="271" t="s">
        <v>785</v>
      </c>
      <c r="C228" s="273">
        <v>440624</v>
      </c>
      <c r="D228" s="359">
        <v>10</v>
      </c>
      <c r="E228" s="225">
        <f t="shared" si="14"/>
        <v>25091</v>
      </c>
      <c r="F228" s="229">
        <f t="shared" si="15"/>
        <v>30122</v>
      </c>
      <c r="G228" s="226">
        <v>25091</v>
      </c>
      <c r="H228" s="201">
        <v>30122</v>
      </c>
      <c r="I228" s="226"/>
      <c r="J228" s="201"/>
      <c r="K228" s="228">
        <v>0</v>
      </c>
      <c r="L228" s="228">
        <v>0</v>
      </c>
      <c r="M228" s="228">
        <v>0</v>
      </c>
      <c r="N228" s="202"/>
      <c r="O228" s="202"/>
      <c r="P228" s="202"/>
      <c r="Q228" s="228"/>
      <c r="R228" s="201"/>
      <c r="S228" s="225">
        <f t="shared" si="16"/>
        <v>0</v>
      </c>
      <c r="T228" s="229">
        <f t="shared" si="17"/>
        <v>0</v>
      </c>
      <c r="U228" s="226">
        <v>0</v>
      </c>
      <c r="V228" s="201"/>
      <c r="W228" s="226"/>
      <c r="X228" s="201"/>
      <c r="Y228" s="228">
        <v>0</v>
      </c>
      <c r="Z228" s="228">
        <v>0</v>
      </c>
      <c r="AA228" s="228">
        <v>0</v>
      </c>
      <c r="AB228" s="202"/>
      <c r="AC228" s="202"/>
      <c r="AD228" s="202"/>
      <c r="AE228" s="228"/>
      <c r="AF228" s="240"/>
    </row>
    <row r="229" spans="1:32" s="203" customFormat="1">
      <c r="A229" s="273" t="s">
        <v>130</v>
      </c>
      <c r="B229" s="271" t="s">
        <v>786</v>
      </c>
      <c r="C229" s="273">
        <v>158884</v>
      </c>
      <c r="D229" s="364">
        <v>10</v>
      </c>
      <c r="E229" s="225">
        <f t="shared" si="14"/>
        <v>24767</v>
      </c>
      <c r="F229" s="229">
        <f t="shared" si="15"/>
        <v>32805</v>
      </c>
      <c r="G229" s="226">
        <v>22505</v>
      </c>
      <c r="H229" s="201">
        <v>29199</v>
      </c>
      <c r="I229" s="226"/>
      <c r="J229" s="201"/>
      <c r="K229" s="228">
        <v>2262</v>
      </c>
      <c r="L229" s="228">
        <v>0</v>
      </c>
      <c r="M229" s="228">
        <v>0</v>
      </c>
      <c r="N229" s="202">
        <v>3606</v>
      </c>
      <c r="O229" s="202">
        <v>0</v>
      </c>
      <c r="P229" s="202">
        <v>0</v>
      </c>
      <c r="Q229" s="228"/>
      <c r="R229" s="201"/>
      <c r="S229" s="225">
        <f t="shared" si="16"/>
        <v>0</v>
      </c>
      <c r="T229" s="229">
        <f t="shared" si="17"/>
        <v>0</v>
      </c>
      <c r="U229" s="226">
        <v>0</v>
      </c>
      <c r="V229" s="201"/>
      <c r="W229" s="226"/>
      <c r="X229" s="201"/>
      <c r="Y229" s="228">
        <v>0</v>
      </c>
      <c r="Z229" s="228">
        <v>0</v>
      </c>
      <c r="AA229" s="228">
        <v>0</v>
      </c>
      <c r="AB229" s="202">
        <v>0</v>
      </c>
      <c r="AC229" s="202">
        <v>0</v>
      </c>
      <c r="AD229" s="202">
        <v>0</v>
      </c>
      <c r="AE229" s="228"/>
      <c r="AF229" s="240"/>
    </row>
    <row r="230" spans="1:32" s="203" customFormat="1">
      <c r="A230" s="273" t="s">
        <v>130</v>
      </c>
      <c r="B230" s="271" t="s">
        <v>787</v>
      </c>
      <c r="C230" s="273">
        <v>436304</v>
      </c>
      <c r="D230" s="364">
        <v>10</v>
      </c>
      <c r="E230" s="225">
        <f t="shared" si="14"/>
        <v>19581</v>
      </c>
      <c r="F230" s="229">
        <f t="shared" si="15"/>
        <v>21760</v>
      </c>
      <c r="G230" s="226">
        <v>19581</v>
      </c>
      <c r="H230" s="201">
        <v>21760</v>
      </c>
      <c r="I230" s="226"/>
      <c r="J230" s="201"/>
      <c r="K230" s="228">
        <v>0</v>
      </c>
      <c r="L230" s="228">
        <v>0</v>
      </c>
      <c r="M230" s="228">
        <v>0</v>
      </c>
      <c r="N230" s="202"/>
      <c r="O230" s="202"/>
      <c r="P230" s="202"/>
      <c r="Q230" s="228"/>
      <c r="R230" s="201"/>
      <c r="S230" s="225">
        <f t="shared" si="16"/>
        <v>0</v>
      </c>
      <c r="T230" s="229">
        <f t="shared" si="17"/>
        <v>0</v>
      </c>
      <c r="U230" s="226">
        <v>0</v>
      </c>
      <c r="V230" s="201"/>
      <c r="W230" s="226"/>
      <c r="X230" s="201"/>
      <c r="Y230" s="228">
        <v>0</v>
      </c>
      <c r="Z230" s="228">
        <v>0</v>
      </c>
      <c r="AA230" s="228">
        <v>0</v>
      </c>
      <c r="AB230" s="202"/>
      <c r="AC230" s="202"/>
      <c r="AD230" s="202"/>
      <c r="AE230" s="228"/>
      <c r="AF230" s="240"/>
    </row>
    <row r="231" spans="1:32" s="203" customFormat="1">
      <c r="A231" s="273" t="s">
        <v>130</v>
      </c>
      <c r="B231" s="272" t="s">
        <v>788</v>
      </c>
      <c r="C231" s="273">
        <v>434061</v>
      </c>
      <c r="D231" s="364">
        <v>10</v>
      </c>
      <c r="E231" s="225">
        <f t="shared" si="14"/>
        <v>51085</v>
      </c>
      <c r="F231" s="229">
        <f t="shared" si="15"/>
        <v>62868</v>
      </c>
      <c r="G231" s="226">
        <v>51085</v>
      </c>
      <c r="H231" s="201">
        <v>62868</v>
      </c>
      <c r="I231" s="226"/>
      <c r="J231" s="201"/>
      <c r="K231" s="228">
        <v>0</v>
      </c>
      <c r="L231" s="228">
        <v>0</v>
      </c>
      <c r="M231" s="228">
        <v>0</v>
      </c>
      <c r="N231" s="202">
        <v>0</v>
      </c>
      <c r="O231" s="202">
        <v>0</v>
      </c>
      <c r="P231" s="202">
        <v>0</v>
      </c>
      <c r="Q231" s="228"/>
      <c r="R231" s="201"/>
      <c r="S231" s="225">
        <f t="shared" si="16"/>
        <v>0</v>
      </c>
      <c r="T231" s="229">
        <f t="shared" si="17"/>
        <v>0</v>
      </c>
      <c r="U231" s="226">
        <v>0</v>
      </c>
      <c r="V231" s="201"/>
      <c r="W231" s="226"/>
      <c r="X231" s="201"/>
      <c r="Y231" s="228">
        <v>0</v>
      </c>
      <c r="Z231" s="228">
        <v>0</v>
      </c>
      <c r="AA231" s="228">
        <v>0</v>
      </c>
      <c r="AB231" s="202">
        <v>0</v>
      </c>
      <c r="AC231" s="202">
        <v>0</v>
      </c>
      <c r="AD231" s="202">
        <v>0</v>
      </c>
      <c r="AE231" s="228"/>
      <c r="AF231" s="240"/>
    </row>
    <row r="232" spans="1:32" s="203" customFormat="1">
      <c r="A232" s="273" t="s">
        <v>130</v>
      </c>
      <c r="B232" s="361" t="s">
        <v>789</v>
      </c>
      <c r="C232" s="362">
        <v>160649</v>
      </c>
      <c r="D232" s="365">
        <v>10</v>
      </c>
      <c r="E232" s="225">
        <f t="shared" si="14"/>
        <v>56204</v>
      </c>
      <c r="F232" s="229">
        <f t="shared" si="15"/>
        <v>56463</v>
      </c>
      <c r="G232" s="226">
        <v>56204</v>
      </c>
      <c r="H232" s="201">
        <v>56463</v>
      </c>
      <c r="I232" s="226"/>
      <c r="J232" s="201"/>
      <c r="K232" s="228">
        <v>0</v>
      </c>
      <c r="L232" s="228">
        <v>0</v>
      </c>
      <c r="M232" s="228">
        <v>0</v>
      </c>
      <c r="N232" s="202"/>
      <c r="O232" s="202"/>
      <c r="P232" s="202"/>
      <c r="Q232" s="228"/>
      <c r="R232" s="201"/>
      <c r="S232" s="225">
        <f t="shared" si="16"/>
        <v>0</v>
      </c>
      <c r="T232" s="229">
        <f t="shared" si="17"/>
        <v>0</v>
      </c>
      <c r="U232" s="226">
        <v>0</v>
      </c>
      <c r="V232" s="201"/>
      <c r="W232" s="226"/>
      <c r="X232" s="201"/>
      <c r="Y232" s="228">
        <v>0</v>
      </c>
      <c r="Z232" s="228">
        <v>0</v>
      </c>
      <c r="AA232" s="228">
        <v>0</v>
      </c>
      <c r="AB232" s="202"/>
      <c r="AC232" s="202"/>
      <c r="AD232" s="202"/>
      <c r="AE232" s="228"/>
      <c r="AF232" s="240"/>
    </row>
    <row r="233" spans="1:32" s="203" customFormat="1">
      <c r="A233" s="273" t="s">
        <v>130</v>
      </c>
      <c r="B233" s="271" t="s">
        <v>790</v>
      </c>
      <c r="C233" s="273">
        <v>160579</v>
      </c>
      <c r="D233" s="359">
        <v>12</v>
      </c>
      <c r="E233" s="225">
        <f t="shared" si="14"/>
        <v>42229</v>
      </c>
      <c r="F233" s="229">
        <f t="shared" si="15"/>
        <v>43753</v>
      </c>
      <c r="G233" s="226">
        <v>42229</v>
      </c>
      <c r="H233" s="201">
        <v>43753</v>
      </c>
      <c r="I233" s="226"/>
      <c r="J233" s="201"/>
      <c r="K233" s="228">
        <v>0</v>
      </c>
      <c r="L233" s="228">
        <v>0</v>
      </c>
      <c r="M233" s="228">
        <v>0</v>
      </c>
      <c r="N233" s="202"/>
      <c r="O233" s="202"/>
      <c r="P233" s="202"/>
      <c r="Q233" s="228"/>
      <c r="R233" s="201"/>
      <c r="S233" s="225">
        <f t="shared" si="16"/>
        <v>0</v>
      </c>
      <c r="T233" s="229">
        <f t="shared" si="17"/>
        <v>0</v>
      </c>
      <c r="U233" s="226">
        <v>0</v>
      </c>
      <c r="V233" s="201"/>
      <c r="W233" s="226"/>
      <c r="X233" s="201"/>
      <c r="Y233" s="228">
        <v>0</v>
      </c>
      <c r="Z233" s="228">
        <v>0</v>
      </c>
      <c r="AA233" s="228">
        <v>0</v>
      </c>
      <c r="AB233" s="202"/>
      <c r="AC233" s="202"/>
      <c r="AD233" s="202"/>
      <c r="AE233" s="228"/>
      <c r="AF233" s="240"/>
    </row>
    <row r="234" spans="1:32" s="203" customFormat="1">
      <c r="A234" s="273" t="s">
        <v>130</v>
      </c>
      <c r="B234" s="271" t="s">
        <v>791</v>
      </c>
      <c r="C234" s="273">
        <v>160481</v>
      </c>
      <c r="D234" s="364">
        <v>13</v>
      </c>
      <c r="E234" s="225">
        <f t="shared" si="14"/>
        <v>23674.5</v>
      </c>
      <c r="F234" s="229">
        <f t="shared" si="15"/>
        <v>27636.5</v>
      </c>
      <c r="G234" s="226">
        <v>23674.5</v>
      </c>
      <c r="H234" s="201">
        <v>27636.5</v>
      </c>
      <c r="I234" s="226"/>
      <c r="J234" s="201"/>
      <c r="K234" s="228">
        <v>0</v>
      </c>
      <c r="L234" s="228">
        <v>0</v>
      </c>
      <c r="M234" s="228">
        <v>0</v>
      </c>
      <c r="N234" s="202"/>
      <c r="O234" s="202"/>
      <c r="P234" s="202"/>
      <c r="Q234" s="228"/>
      <c r="R234" s="201"/>
      <c r="S234" s="225">
        <f t="shared" si="16"/>
        <v>0</v>
      </c>
      <c r="T234" s="229">
        <f t="shared" si="17"/>
        <v>0</v>
      </c>
      <c r="U234" s="226">
        <v>0</v>
      </c>
      <c r="V234" s="201"/>
      <c r="W234" s="226"/>
      <c r="X234" s="201"/>
      <c r="Y234" s="228">
        <v>0</v>
      </c>
      <c r="Z234" s="228">
        <v>0</v>
      </c>
      <c r="AA234" s="228">
        <v>0</v>
      </c>
      <c r="AB234" s="202"/>
      <c r="AC234" s="202"/>
      <c r="AD234" s="202"/>
      <c r="AE234" s="228"/>
      <c r="AF234" s="240"/>
    </row>
    <row r="235" spans="1:32" s="203" customFormat="1">
      <c r="A235" s="362" t="s">
        <v>130</v>
      </c>
      <c r="B235" s="361" t="s">
        <v>792</v>
      </c>
      <c r="C235" s="362">
        <v>158088</v>
      </c>
      <c r="D235" s="365">
        <v>14</v>
      </c>
      <c r="E235" s="225">
        <f t="shared" si="14"/>
        <v>0</v>
      </c>
      <c r="F235" s="229">
        <f t="shared" si="15"/>
        <v>0</v>
      </c>
      <c r="G235" s="226"/>
      <c r="H235" s="201"/>
      <c r="I235" s="226"/>
      <c r="J235" s="201"/>
      <c r="K235" s="228"/>
      <c r="L235" s="228"/>
      <c r="M235" s="228"/>
      <c r="N235" s="202"/>
      <c r="O235" s="202"/>
      <c r="P235" s="202"/>
      <c r="Q235" s="228"/>
      <c r="R235" s="201"/>
      <c r="S235" s="225">
        <f t="shared" si="16"/>
        <v>0</v>
      </c>
      <c r="T235" s="229">
        <f t="shared" si="17"/>
        <v>0</v>
      </c>
      <c r="U235" s="226"/>
      <c r="V235" s="201"/>
      <c r="W235" s="226"/>
      <c r="X235" s="201"/>
      <c r="Y235" s="228"/>
      <c r="Z235" s="228"/>
      <c r="AA235" s="228"/>
      <c r="AB235" s="202"/>
      <c r="AC235" s="202"/>
      <c r="AD235" s="202"/>
      <c r="AE235" s="228"/>
      <c r="AF235" s="240"/>
    </row>
    <row r="236" spans="1:32" s="203" customFormat="1">
      <c r="A236" s="362" t="s">
        <v>130</v>
      </c>
      <c r="B236" s="361" t="s">
        <v>793</v>
      </c>
      <c r="C236" s="362">
        <v>160560</v>
      </c>
      <c r="D236" s="365">
        <v>14</v>
      </c>
      <c r="E236" s="225">
        <f t="shared" si="14"/>
        <v>0</v>
      </c>
      <c r="F236" s="229">
        <f t="shared" si="15"/>
        <v>0</v>
      </c>
      <c r="G236" s="226"/>
      <c r="H236" s="201"/>
      <c r="I236" s="226"/>
      <c r="J236" s="201"/>
      <c r="K236" s="228"/>
      <c r="L236" s="228"/>
      <c r="M236" s="228"/>
      <c r="N236" s="202"/>
      <c r="O236" s="202"/>
      <c r="P236" s="202"/>
      <c r="Q236" s="228"/>
      <c r="R236" s="201"/>
      <c r="S236" s="225">
        <f t="shared" si="16"/>
        <v>0</v>
      </c>
      <c r="T236" s="229">
        <f t="shared" si="17"/>
        <v>0</v>
      </c>
      <c r="U236" s="226"/>
      <c r="V236" s="201"/>
      <c r="W236" s="226"/>
      <c r="X236" s="201"/>
      <c r="Y236" s="228"/>
      <c r="Z236" s="228"/>
      <c r="AA236" s="228"/>
      <c r="AB236" s="202"/>
      <c r="AC236" s="202"/>
      <c r="AD236" s="202"/>
      <c r="AE236" s="228"/>
      <c r="AF236" s="240"/>
    </row>
    <row r="237" spans="1:32" s="203" customFormat="1">
      <c r="A237" s="273" t="s">
        <v>130</v>
      </c>
      <c r="B237" s="271" t="s">
        <v>794</v>
      </c>
      <c r="C237" s="273"/>
      <c r="D237" s="364">
        <v>14</v>
      </c>
      <c r="E237" s="225">
        <f t="shared" si="14"/>
        <v>389826</v>
      </c>
      <c r="F237" s="229">
        <f t="shared" si="15"/>
        <v>422560.5</v>
      </c>
      <c r="G237" s="226">
        <v>389826</v>
      </c>
      <c r="H237" s="201">
        <v>422560.5</v>
      </c>
      <c r="I237" s="226"/>
      <c r="J237" s="201"/>
      <c r="K237" s="228">
        <v>0</v>
      </c>
      <c r="L237" s="228">
        <v>0</v>
      </c>
      <c r="M237" s="228">
        <v>0</v>
      </c>
      <c r="N237" s="202"/>
      <c r="O237" s="202"/>
      <c r="P237" s="202"/>
      <c r="Q237" s="228"/>
      <c r="R237" s="201"/>
      <c r="S237" s="225">
        <f t="shared" si="16"/>
        <v>0</v>
      </c>
      <c r="T237" s="229">
        <f t="shared" si="17"/>
        <v>0</v>
      </c>
      <c r="U237" s="226">
        <v>0</v>
      </c>
      <c r="V237" s="201"/>
      <c r="W237" s="226"/>
      <c r="X237" s="201"/>
      <c r="Y237" s="228">
        <v>0</v>
      </c>
      <c r="Z237" s="228">
        <v>0</v>
      </c>
      <c r="AA237" s="228">
        <v>0</v>
      </c>
      <c r="AB237" s="202"/>
      <c r="AC237" s="202"/>
      <c r="AD237" s="202"/>
      <c r="AE237" s="228"/>
      <c r="AF237" s="240"/>
    </row>
    <row r="238" spans="1:32" s="203" customFormat="1">
      <c r="A238" s="362" t="s">
        <v>130</v>
      </c>
      <c r="B238" s="361" t="s">
        <v>795</v>
      </c>
      <c r="C238" s="362">
        <v>158219</v>
      </c>
      <c r="D238" s="365">
        <v>14</v>
      </c>
      <c r="E238" s="225">
        <f t="shared" si="14"/>
        <v>0</v>
      </c>
      <c r="F238" s="229">
        <f t="shared" si="15"/>
        <v>0</v>
      </c>
      <c r="G238" s="226"/>
      <c r="H238" s="201"/>
      <c r="I238" s="226"/>
      <c r="J238" s="201"/>
      <c r="K238" s="228"/>
      <c r="L238" s="228"/>
      <c r="M238" s="228"/>
      <c r="N238" s="202"/>
      <c r="O238" s="202"/>
      <c r="P238" s="202"/>
      <c r="Q238" s="228"/>
      <c r="R238" s="201"/>
      <c r="S238" s="225">
        <f t="shared" si="16"/>
        <v>0</v>
      </c>
      <c r="T238" s="229">
        <f t="shared" si="17"/>
        <v>0</v>
      </c>
      <c r="U238" s="226"/>
      <c r="V238" s="201"/>
      <c r="W238" s="226"/>
      <c r="X238" s="201"/>
      <c r="Y238" s="228"/>
      <c r="Z238" s="228"/>
      <c r="AA238" s="228"/>
      <c r="AB238" s="202"/>
      <c r="AC238" s="202"/>
      <c r="AD238" s="202"/>
      <c r="AE238" s="228"/>
      <c r="AF238" s="240"/>
    </row>
    <row r="239" spans="1:32" s="203" customFormat="1">
      <c r="A239" s="362" t="s">
        <v>130</v>
      </c>
      <c r="B239" s="361" t="s">
        <v>796</v>
      </c>
      <c r="C239" s="362">
        <v>158237</v>
      </c>
      <c r="D239" s="363">
        <v>14</v>
      </c>
      <c r="E239" s="225">
        <f t="shared" si="14"/>
        <v>0</v>
      </c>
      <c r="F239" s="229">
        <f t="shared" si="15"/>
        <v>0</v>
      </c>
      <c r="G239" s="226"/>
      <c r="H239" s="201"/>
      <c r="I239" s="226"/>
      <c r="J239" s="201"/>
      <c r="K239" s="228"/>
      <c r="L239" s="228"/>
      <c r="M239" s="228"/>
      <c r="N239" s="202"/>
      <c r="O239" s="202"/>
      <c r="P239" s="202"/>
      <c r="Q239" s="228"/>
      <c r="R239" s="201"/>
      <c r="S239" s="225">
        <f t="shared" si="16"/>
        <v>0</v>
      </c>
      <c r="T239" s="229">
        <f t="shared" si="17"/>
        <v>0</v>
      </c>
      <c r="U239" s="226"/>
      <c r="V239" s="201"/>
      <c r="W239" s="226"/>
      <c r="X239" s="201"/>
      <c r="Y239" s="228"/>
      <c r="Z239" s="228"/>
      <c r="AA239" s="228"/>
      <c r="AB239" s="202"/>
      <c r="AC239" s="202"/>
      <c r="AD239" s="202"/>
      <c r="AE239" s="228"/>
      <c r="AF239" s="240"/>
    </row>
    <row r="240" spans="1:32" s="203" customFormat="1">
      <c r="A240" s="362" t="s">
        <v>130</v>
      </c>
      <c r="B240" s="361" t="s">
        <v>797</v>
      </c>
      <c r="C240" s="362">
        <v>158307</v>
      </c>
      <c r="D240" s="363">
        <v>14</v>
      </c>
      <c r="E240" s="225">
        <f t="shared" si="14"/>
        <v>0</v>
      </c>
      <c r="F240" s="229">
        <f t="shared" si="15"/>
        <v>0</v>
      </c>
      <c r="G240" s="226"/>
      <c r="H240" s="201"/>
      <c r="I240" s="226"/>
      <c r="J240" s="201"/>
      <c r="K240" s="228"/>
      <c r="L240" s="228"/>
      <c r="M240" s="228"/>
      <c r="N240" s="202"/>
      <c r="O240" s="202"/>
      <c r="P240" s="202"/>
      <c r="Q240" s="228"/>
      <c r="R240" s="201"/>
      <c r="S240" s="225">
        <f t="shared" si="16"/>
        <v>0</v>
      </c>
      <c r="T240" s="229">
        <f t="shared" si="17"/>
        <v>0</v>
      </c>
      <c r="U240" s="226"/>
      <c r="V240" s="201"/>
      <c r="W240" s="226"/>
      <c r="X240" s="201"/>
      <c r="Y240" s="228"/>
      <c r="Z240" s="228"/>
      <c r="AA240" s="228"/>
      <c r="AB240" s="202"/>
      <c r="AC240" s="202"/>
      <c r="AD240" s="202"/>
      <c r="AE240" s="228"/>
      <c r="AF240" s="240"/>
    </row>
    <row r="241" spans="1:32" s="203" customFormat="1">
      <c r="A241" s="362" t="s">
        <v>130</v>
      </c>
      <c r="B241" s="361" t="s">
        <v>798</v>
      </c>
      <c r="C241" s="362">
        <v>158352</v>
      </c>
      <c r="D241" s="363">
        <v>14</v>
      </c>
      <c r="E241" s="225">
        <f t="shared" si="14"/>
        <v>0</v>
      </c>
      <c r="F241" s="229">
        <f t="shared" si="15"/>
        <v>0</v>
      </c>
      <c r="G241" s="226"/>
      <c r="H241" s="201"/>
      <c r="I241" s="226"/>
      <c r="J241" s="201"/>
      <c r="K241" s="228"/>
      <c r="L241" s="228"/>
      <c r="M241" s="228"/>
      <c r="N241" s="202"/>
      <c r="O241" s="202"/>
      <c r="P241" s="202"/>
      <c r="Q241" s="228"/>
      <c r="R241" s="201"/>
      <c r="S241" s="225">
        <f t="shared" si="16"/>
        <v>0</v>
      </c>
      <c r="T241" s="229">
        <f t="shared" si="17"/>
        <v>0</v>
      </c>
      <c r="U241" s="226"/>
      <c r="V241" s="201"/>
      <c r="W241" s="226"/>
      <c r="X241" s="201"/>
      <c r="Y241" s="228"/>
      <c r="Z241" s="228"/>
      <c r="AA241" s="228"/>
      <c r="AB241" s="202"/>
      <c r="AC241" s="202"/>
      <c r="AD241" s="202"/>
      <c r="AE241" s="228"/>
      <c r="AF241" s="240"/>
    </row>
    <row r="242" spans="1:32" s="203" customFormat="1">
      <c r="A242" s="362" t="s">
        <v>130</v>
      </c>
      <c r="B242" s="361" t="s">
        <v>799</v>
      </c>
      <c r="C242" s="362">
        <v>160816</v>
      </c>
      <c r="D242" s="365">
        <v>14</v>
      </c>
      <c r="E242" s="225">
        <f t="shared" si="14"/>
        <v>0</v>
      </c>
      <c r="F242" s="229">
        <f t="shared" si="15"/>
        <v>0</v>
      </c>
      <c r="G242" s="226"/>
      <c r="H242" s="201"/>
      <c r="I242" s="226"/>
      <c r="J242" s="201"/>
      <c r="K242" s="228"/>
      <c r="L242" s="228"/>
      <c r="M242" s="228"/>
      <c r="N242" s="202"/>
      <c r="O242" s="202"/>
      <c r="P242" s="202"/>
      <c r="Q242" s="228"/>
      <c r="R242" s="201"/>
      <c r="S242" s="225">
        <f t="shared" si="16"/>
        <v>0</v>
      </c>
      <c r="T242" s="229">
        <f t="shared" si="17"/>
        <v>0</v>
      </c>
      <c r="U242" s="226"/>
      <c r="V242" s="201"/>
      <c r="W242" s="226"/>
      <c r="X242" s="201"/>
      <c r="Y242" s="228"/>
      <c r="Z242" s="228"/>
      <c r="AA242" s="228"/>
      <c r="AB242" s="202"/>
      <c r="AC242" s="202"/>
      <c r="AD242" s="202"/>
      <c r="AE242" s="228"/>
      <c r="AF242" s="240"/>
    </row>
    <row r="243" spans="1:32" s="203" customFormat="1">
      <c r="A243" s="362" t="s">
        <v>130</v>
      </c>
      <c r="B243" s="361" t="s">
        <v>800</v>
      </c>
      <c r="C243" s="362">
        <v>158769</v>
      </c>
      <c r="D243" s="365">
        <v>14</v>
      </c>
      <c r="E243" s="225">
        <f t="shared" si="14"/>
        <v>0</v>
      </c>
      <c r="F243" s="229">
        <f t="shared" si="15"/>
        <v>0</v>
      </c>
      <c r="G243" s="226"/>
      <c r="H243" s="201"/>
      <c r="I243" s="226"/>
      <c r="J243" s="201"/>
      <c r="K243" s="228"/>
      <c r="L243" s="228"/>
      <c r="M243" s="228"/>
      <c r="N243" s="202"/>
      <c r="O243" s="202"/>
      <c r="P243" s="202"/>
      <c r="Q243" s="228"/>
      <c r="R243" s="201"/>
      <c r="S243" s="225">
        <f t="shared" si="16"/>
        <v>0</v>
      </c>
      <c r="T243" s="229">
        <f t="shared" si="17"/>
        <v>0</v>
      </c>
      <c r="U243" s="226"/>
      <c r="V243" s="201"/>
      <c r="W243" s="226"/>
      <c r="X243" s="201"/>
      <c r="Y243" s="228"/>
      <c r="Z243" s="228"/>
      <c r="AA243" s="228"/>
      <c r="AB243" s="202"/>
      <c r="AC243" s="202"/>
      <c r="AD243" s="202"/>
      <c r="AE243" s="228"/>
      <c r="AF243" s="240"/>
    </row>
    <row r="244" spans="1:32" s="203" customFormat="1">
      <c r="A244" s="362" t="s">
        <v>130</v>
      </c>
      <c r="B244" s="361" t="s">
        <v>801</v>
      </c>
      <c r="C244" s="362">
        <v>158893</v>
      </c>
      <c r="D244" s="365">
        <v>14</v>
      </c>
      <c r="E244" s="225">
        <f t="shared" si="14"/>
        <v>0</v>
      </c>
      <c r="F244" s="229">
        <f t="shared" si="15"/>
        <v>0</v>
      </c>
      <c r="G244" s="226"/>
      <c r="H244" s="201"/>
      <c r="I244" s="226"/>
      <c r="J244" s="201"/>
      <c r="K244" s="228"/>
      <c r="L244" s="228"/>
      <c r="M244" s="228"/>
      <c r="N244" s="202"/>
      <c r="O244" s="202"/>
      <c r="P244" s="202"/>
      <c r="Q244" s="228"/>
      <c r="R244" s="201"/>
      <c r="S244" s="225">
        <f t="shared" si="16"/>
        <v>0</v>
      </c>
      <c r="T244" s="229">
        <f t="shared" si="17"/>
        <v>0</v>
      </c>
      <c r="U244" s="226"/>
      <c r="V244" s="201"/>
      <c r="W244" s="226"/>
      <c r="X244" s="201"/>
      <c r="Y244" s="228"/>
      <c r="Z244" s="228"/>
      <c r="AA244" s="228"/>
      <c r="AB244" s="202"/>
      <c r="AC244" s="202"/>
      <c r="AD244" s="202"/>
      <c r="AE244" s="228"/>
      <c r="AF244" s="240"/>
    </row>
    <row r="245" spans="1:32" s="203" customFormat="1">
      <c r="A245" s="362" t="s">
        <v>130</v>
      </c>
      <c r="B245" s="361" t="s">
        <v>802</v>
      </c>
      <c r="C245" s="362">
        <v>158936</v>
      </c>
      <c r="D245" s="365">
        <v>14</v>
      </c>
      <c r="E245" s="225">
        <f t="shared" si="14"/>
        <v>0</v>
      </c>
      <c r="F245" s="229">
        <f t="shared" si="15"/>
        <v>0</v>
      </c>
      <c r="G245" s="226"/>
      <c r="H245" s="201"/>
      <c r="I245" s="226"/>
      <c r="J245" s="201"/>
      <c r="K245" s="228"/>
      <c r="L245" s="228"/>
      <c r="M245" s="228"/>
      <c r="N245" s="202"/>
      <c r="O245" s="202"/>
      <c r="P245" s="202"/>
      <c r="Q245" s="228"/>
      <c r="R245" s="201"/>
      <c r="S245" s="225">
        <f t="shared" si="16"/>
        <v>0</v>
      </c>
      <c r="T245" s="229">
        <f t="shared" si="17"/>
        <v>0</v>
      </c>
      <c r="U245" s="226"/>
      <c r="V245" s="201"/>
      <c r="W245" s="226"/>
      <c r="X245" s="201"/>
      <c r="Y245" s="228"/>
      <c r="Z245" s="228"/>
      <c r="AA245" s="228"/>
      <c r="AB245" s="202"/>
      <c r="AC245" s="202"/>
      <c r="AD245" s="202"/>
      <c r="AE245" s="228"/>
      <c r="AF245" s="240"/>
    </row>
    <row r="246" spans="1:32" s="203" customFormat="1">
      <c r="A246" s="362" t="s">
        <v>130</v>
      </c>
      <c r="B246" s="361" t="s">
        <v>803</v>
      </c>
      <c r="C246" s="362">
        <v>158945</v>
      </c>
      <c r="D246" s="365">
        <v>14</v>
      </c>
      <c r="E246" s="225">
        <f t="shared" si="14"/>
        <v>0</v>
      </c>
      <c r="F246" s="229">
        <f t="shared" si="15"/>
        <v>0</v>
      </c>
      <c r="G246" s="226"/>
      <c r="H246" s="201"/>
      <c r="I246" s="226"/>
      <c r="J246" s="201"/>
      <c r="K246" s="228"/>
      <c r="L246" s="228"/>
      <c r="M246" s="228"/>
      <c r="N246" s="202"/>
      <c r="O246" s="202"/>
      <c r="P246" s="202"/>
      <c r="Q246" s="228"/>
      <c r="R246" s="201"/>
      <c r="S246" s="225">
        <f t="shared" si="16"/>
        <v>0</v>
      </c>
      <c r="T246" s="229">
        <f t="shared" si="17"/>
        <v>0</v>
      </c>
      <c r="U246" s="226"/>
      <c r="V246" s="201"/>
      <c r="W246" s="226"/>
      <c r="X246" s="201"/>
      <c r="Y246" s="228"/>
      <c r="Z246" s="228"/>
      <c r="AA246" s="228"/>
      <c r="AB246" s="202"/>
      <c r="AC246" s="202"/>
      <c r="AD246" s="202"/>
      <c r="AE246" s="228"/>
      <c r="AF246" s="240"/>
    </row>
    <row r="247" spans="1:32" s="203" customFormat="1">
      <c r="A247" s="362" t="s">
        <v>130</v>
      </c>
      <c r="B247" s="361" t="s">
        <v>804</v>
      </c>
      <c r="C247" s="362">
        <v>159018</v>
      </c>
      <c r="D247" s="365">
        <v>14</v>
      </c>
      <c r="E247" s="225">
        <f t="shared" si="14"/>
        <v>0</v>
      </c>
      <c r="F247" s="229">
        <f t="shared" si="15"/>
        <v>0</v>
      </c>
      <c r="G247" s="226"/>
      <c r="H247" s="201"/>
      <c r="I247" s="226"/>
      <c r="J247" s="201"/>
      <c r="K247" s="228"/>
      <c r="L247" s="228"/>
      <c r="M247" s="228"/>
      <c r="N247" s="202"/>
      <c r="O247" s="202"/>
      <c r="P247" s="202"/>
      <c r="Q247" s="228"/>
      <c r="R247" s="201"/>
      <c r="S247" s="225">
        <f t="shared" si="16"/>
        <v>0</v>
      </c>
      <c r="T247" s="229">
        <f t="shared" si="17"/>
        <v>0</v>
      </c>
      <c r="U247" s="226"/>
      <c r="V247" s="201"/>
      <c r="W247" s="226"/>
      <c r="X247" s="201"/>
      <c r="Y247" s="228"/>
      <c r="Z247" s="228"/>
      <c r="AA247" s="228"/>
      <c r="AB247" s="202"/>
      <c r="AC247" s="202"/>
      <c r="AD247" s="202"/>
      <c r="AE247" s="228"/>
      <c r="AF247" s="240"/>
    </row>
    <row r="248" spans="1:32" s="203" customFormat="1">
      <c r="A248" s="362" t="s">
        <v>130</v>
      </c>
      <c r="B248" s="361" t="s">
        <v>805</v>
      </c>
      <c r="C248" s="362">
        <v>159045</v>
      </c>
      <c r="D248" s="365">
        <v>14</v>
      </c>
      <c r="E248" s="225">
        <f t="shared" si="14"/>
        <v>0</v>
      </c>
      <c r="F248" s="229">
        <f t="shared" si="15"/>
        <v>0</v>
      </c>
      <c r="G248" s="226"/>
      <c r="H248" s="201"/>
      <c r="I248" s="226"/>
      <c r="J248" s="201"/>
      <c r="K248" s="228"/>
      <c r="L248" s="228"/>
      <c r="M248" s="228"/>
      <c r="N248" s="202"/>
      <c r="O248" s="202"/>
      <c r="P248" s="202"/>
      <c r="Q248" s="228"/>
      <c r="R248" s="201"/>
      <c r="S248" s="225">
        <f t="shared" si="16"/>
        <v>0</v>
      </c>
      <c r="T248" s="229">
        <f t="shared" si="17"/>
        <v>0</v>
      </c>
      <c r="U248" s="226"/>
      <c r="V248" s="201"/>
      <c r="W248" s="226"/>
      <c r="X248" s="201"/>
      <c r="Y248" s="228"/>
      <c r="Z248" s="228"/>
      <c r="AA248" s="228"/>
      <c r="AB248" s="202"/>
      <c r="AC248" s="202"/>
      <c r="AD248" s="202"/>
      <c r="AE248" s="228"/>
      <c r="AF248" s="240"/>
    </row>
    <row r="249" spans="1:32" s="203" customFormat="1">
      <c r="A249" s="362" t="s">
        <v>130</v>
      </c>
      <c r="B249" s="361" t="s">
        <v>806</v>
      </c>
      <c r="C249" s="362">
        <v>159090</v>
      </c>
      <c r="D249" s="365">
        <v>14</v>
      </c>
      <c r="E249" s="225">
        <f t="shared" si="14"/>
        <v>0</v>
      </c>
      <c r="F249" s="229">
        <f t="shared" si="15"/>
        <v>0</v>
      </c>
      <c r="G249" s="226"/>
      <c r="H249" s="201"/>
      <c r="I249" s="226"/>
      <c r="J249" s="201"/>
      <c r="K249" s="228"/>
      <c r="L249" s="228"/>
      <c r="M249" s="228"/>
      <c r="N249" s="202"/>
      <c r="O249" s="202"/>
      <c r="P249" s="202"/>
      <c r="Q249" s="228"/>
      <c r="R249" s="201"/>
      <c r="S249" s="225">
        <f t="shared" si="16"/>
        <v>0</v>
      </c>
      <c r="T249" s="229">
        <f t="shared" si="17"/>
        <v>0</v>
      </c>
      <c r="U249" s="226"/>
      <c r="V249" s="201"/>
      <c r="W249" s="226"/>
      <c r="X249" s="201"/>
      <c r="Y249" s="228"/>
      <c r="Z249" s="228"/>
      <c r="AA249" s="228"/>
      <c r="AB249" s="202"/>
      <c r="AC249" s="202"/>
      <c r="AD249" s="202"/>
      <c r="AE249" s="228"/>
      <c r="AF249" s="240"/>
    </row>
    <row r="250" spans="1:32" s="203" customFormat="1">
      <c r="A250" s="362" t="s">
        <v>130</v>
      </c>
      <c r="B250" s="361" t="s">
        <v>807</v>
      </c>
      <c r="C250" s="362">
        <v>159258</v>
      </c>
      <c r="D250" s="365">
        <v>14</v>
      </c>
      <c r="E250" s="225">
        <f t="shared" si="14"/>
        <v>0</v>
      </c>
      <c r="F250" s="229">
        <f t="shared" si="15"/>
        <v>0</v>
      </c>
      <c r="G250" s="226"/>
      <c r="H250" s="201"/>
      <c r="I250" s="226"/>
      <c r="J250" s="201"/>
      <c r="K250" s="228"/>
      <c r="L250" s="228"/>
      <c r="M250" s="228"/>
      <c r="N250" s="202"/>
      <c r="O250" s="202"/>
      <c r="P250" s="202"/>
      <c r="Q250" s="228"/>
      <c r="R250" s="201"/>
      <c r="S250" s="225">
        <f t="shared" si="16"/>
        <v>0</v>
      </c>
      <c r="T250" s="229">
        <f t="shared" si="17"/>
        <v>0</v>
      </c>
      <c r="U250" s="226"/>
      <c r="V250" s="201"/>
      <c r="W250" s="226"/>
      <c r="X250" s="201"/>
      <c r="Y250" s="228"/>
      <c r="Z250" s="228"/>
      <c r="AA250" s="228"/>
      <c r="AB250" s="202"/>
      <c r="AC250" s="202"/>
      <c r="AD250" s="202"/>
      <c r="AE250" s="228"/>
      <c r="AF250" s="240"/>
    </row>
    <row r="251" spans="1:32" s="203" customFormat="1">
      <c r="A251" s="362" t="s">
        <v>130</v>
      </c>
      <c r="B251" s="361" t="s">
        <v>808</v>
      </c>
      <c r="C251" s="362">
        <v>160214</v>
      </c>
      <c r="D251" s="365">
        <v>14</v>
      </c>
      <c r="E251" s="225">
        <f t="shared" si="14"/>
        <v>0</v>
      </c>
      <c r="F251" s="229">
        <f t="shared" si="15"/>
        <v>0</v>
      </c>
      <c r="G251" s="226"/>
      <c r="H251" s="201"/>
      <c r="I251" s="226"/>
      <c r="J251" s="201"/>
      <c r="K251" s="228"/>
      <c r="L251" s="228"/>
      <c r="M251" s="228"/>
      <c r="N251" s="202"/>
      <c r="O251" s="202"/>
      <c r="P251" s="202"/>
      <c r="Q251" s="228"/>
      <c r="R251" s="201"/>
      <c r="S251" s="225">
        <f t="shared" si="16"/>
        <v>0</v>
      </c>
      <c r="T251" s="229">
        <f t="shared" si="17"/>
        <v>0</v>
      </c>
      <c r="U251" s="226"/>
      <c r="V251" s="201"/>
      <c r="W251" s="226"/>
      <c r="X251" s="201"/>
      <c r="Y251" s="228"/>
      <c r="Z251" s="228"/>
      <c r="AA251" s="228"/>
      <c r="AB251" s="202"/>
      <c r="AC251" s="202"/>
      <c r="AD251" s="202"/>
      <c r="AE251" s="228"/>
      <c r="AF251" s="240"/>
    </row>
    <row r="252" spans="1:32" s="203" customFormat="1">
      <c r="A252" s="362" t="s">
        <v>130</v>
      </c>
      <c r="B252" s="361" t="s">
        <v>809</v>
      </c>
      <c r="C252" s="362">
        <v>159443</v>
      </c>
      <c r="D252" s="365">
        <v>14</v>
      </c>
      <c r="E252" s="225">
        <f t="shared" si="14"/>
        <v>0</v>
      </c>
      <c r="F252" s="229">
        <f t="shared" si="15"/>
        <v>0</v>
      </c>
      <c r="G252" s="226"/>
      <c r="H252" s="201"/>
      <c r="I252" s="226"/>
      <c r="J252" s="201"/>
      <c r="K252" s="228"/>
      <c r="L252" s="228"/>
      <c r="M252" s="228"/>
      <c r="N252" s="202"/>
      <c r="O252" s="202"/>
      <c r="P252" s="202"/>
      <c r="Q252" s="228"/>
      <c r="R252" s="201"/>
      <c r="S252" s="225">
        <f t="shared" si="16"/>
        <v>0</v>
      </c>
      <c r="T252" s="229">
        <f t="shared" si="17"/>
        <v>0</v>
      </c>
      <c r="U252" s="226"/>
      <c r="V252" s="201"/>
      <c r="W252" s="226"/>
      <c r="X252" s="201"/>
      <c r="Y252" s="228"/>
      <c r="Z252" s="228"/>
      <c r="AA252" s="228"/>
      <c r="AB252" s="202"/>
      <c r="AC252" s="202"/>
      <c r="AD252" s="202"/>
      <c r="AE252" s="228"/>
      <c r="AF252" s="240"/>
    </row>
    <row r="253" spans="1:32" s="203" customFormat="1">
      <c r="A253" s="362" t="s">
        <v>130</v>
      </c>
      <c r="B253" s="361" t="s">
        <v>810</v>
      </c>
      <c r="C253" s="362">
        <v>160719</v>
      </c>
      <c r="D253" s="365">
        <v>14</v>
      </c>
      <c r="E253" s="225">
        <f t="shared" si="14"/>
        <v>0</v>
      </c>
      <c r="F253" s="229">
        <f t="shared" si="15"/>
        <v>0</v>
      </c>
      <c r="G253" s="226"/>
      <c r="H253" s="201"/>
      <c r="I253" s="226"/>
      <c r="J253" s="201"/>
      <c r="K253" s="228"/>
      <c r="L253" s="228"/>
      <c r="M253" s="228"/>
      <c r="N253" s="202"/>
      <c r="O253" s="202"/>
      <c r="P253" s="202"/>
      <c r="Q253" s="228"/>
      <c r="R253" s="201"/>
      <c r="S253" s="225">
        <f t="shared" si="16"/>
        <v>0</v>
      </c>
      <c r="T253" s="229">
        <f t="shared" si="17"/>
        <v>0</v>
      </c>
      <c r="U253" s="226"/>
      <c r="V253" s="201"/>
      <c r="W253" s="226"/>
      <c r="X253" s="201"/>
      <c r="Y253" s="228"/>
      <c r="Z253" s="228"/>
      <c r="AA253" s="228"/>
      <c r="AB253" s="202"/>
      <c r="AC253" s="202"/>
      <c r="AD253" s="202"/>
      <c r="AE253" s="228"/>
      <c r="AF253" s="240"/>
    </row>
    <row r="254" spans="1:32" s="203" customFormat="1">
      <c r="A254" s="362" t="s">
        <v>130</v>
      </c>
      <c r="B254" s="361" t="s">
        <v>811</v>
      </c>
      <c r="C254" s="362">
        <v>160843</v>
      </c>
      <c r="D254" s="365">
        <v>14</v>
      </c>
      <c r="E254" s="225">
        <f t="shared" si="14"/>
        <v>0</v>
      </c>
      <c r="F254" s="229">
        <f t="shared" si="15"/>
        <v>0</v>
      </c>
      <c r="G254" s="226"/>
      <c r="H254" s="201"/>
      <c r="I254" s="226"/>
      <c r="J254" s="201"/>
      <c r="K254" s="228"/>
      <c r="L254" s="228"/>
      <c r="M254" s="228"/>
      <c r="N254" s="202"/>
      <c r="O254" s="202"/>
      <c r="P254" s="202"/>
      <c r="Q254" s="228"/>
      <c r="R254" s="201"/>
      <c r="S254" s="225">
        <f t="shared" si="16"/>
        <v>0</v>
      </c>
      <c r="T254" s="229">
        <f t="shared" si="17"/>
        <v>0</v>
      </c>
      <c r="U254" s="226"/>
      <c r="V254" s="201"/>
      <c r="W254" s="226"/>
      <c r="X254" s="201"/>
      <c r="Y254" s="228"/>
      <c r="Z254" s="228"/>
      <c r="AA254" s="228"/>
      <c r="AB254" s="202"/>
      <c r="AC254" s="202"/>
      <c r="AD254" s="202"/>
      <c r="AE254" s="228"/>
      <c r="AF254" s="240"/>
    </row>
    <row r="255" spans="1:32" s="203" customFormat="1">
      <c r="A255" s="362" t="s">
        <v>130</v>
      </c>
      <c r="B255" s="361" t="s">
        <v>812</v>
      </c>
      <c r="C255" s="362">
        <v>159692</v>
      </c>
      <c r="D255" s="365">
        <v>14</v>
      </c>
      <c r="E255" s="225">
        <f t="shared" si="14"/>
        <v>0</v>
      </c>
      <c r="F255" s="229">
        <f t="shared" si="15"/>
        <v>0</v>
      </c>
      <c r="G255" s="226"/>
      <c r="H255" s="201"/>
      <c r="I255" s="226"/>
      <c r="J255" s="201"/>
      <c r="K255" s="228"/>
      <c r="L255" s="228"/>
      <c r="M255" s="228"/>
      <c r="N255" s="202"/>
      <c r="O255" s="202"/>
      <c r="P255" s="202"/>
      <c r="Q255" s="228"/>
      <c r="R255" s="201"/>
      <c r="S255" s="225">
        <f t="shared" si="16"/>
        <v>0</v>
      </c>
      <c r="T255" s="229">
        <f t="shared" si="17"/>
        <v>0</v>
      </c>
      <c r="U255" s="226"/>
      <c r="V255" s="201"/>
      <c r="W255" s="226"/>
      <c r="X255" s="201"/>
      <c r="Y255" s="228"/>
      <c r="Z255" s="228"/>
      <c r="AA255" s="228"/>
      <c r="AB255" s="202"/>
      <c r="AC255" s="202"/>
      <c r="AD255" s="202"/>
      <c r="AE255" s="228"/>
      <c r="AF255" s="240"/>
    </row>
    <row r="256" spans="1:32" s="203" customFormat="1">
      <c r="A256" s="362" t="s">
        <v>130</v>
      </c>
      <c r="B256" s="361" t="s">
        <v>813</v>
      </c>
      <c r="C256" s="362">
        <v>159249</v>
      </c>
      <c r="D256" s="363">
        <v>14</v>
      </c>
      <c r="E256" s="225">
        <f t="shared" si="14"/>
        <v>0</v>
      </c>
      <c r="F256" s="229">
        <f t="shared" si="15"/>
        <v>0</v>
      </c>
      <c r="G256" s="226"/>
      <c r="H256" s="201"/>
      <c r="I256" s="226"/>
      <c r="J256" s="201"/>
      <c r="K256" s="228"/>
      <c r="L256" s="228"/>
      <c r="M256" s="228"/>
      <c r="N256" s="202"/>
      <c r="O256" s="202"/>
      <c r="P256" s="202"/>
      <c r="Q256" s="228"/>
      <c r="R256" s="201"/>
      <c r="S256" s="225">
        <f t="shared" si="16"/>
        <v>0</v>
      </c>
      <c r="T256" s="229">
        <f t="shared" si="17"/>
        <v>0</v>
      </c>
      <c r="U256" s="226"/>
      <c r="V256" s="201"/>
      <c r="W256" s="226"/>
      <c r="X256" s="201"/>
      <c r="Y256" s="228"/>
      <c r="Z256" s="228"/>
      <c r="AA256" s="228"/>
      <c r="AB256" s="202"/>
      <c r="AC256" s="202"/>
      <c r="AD256" s="202"/>
      <c r="AE256" s="228"/>
      <c r="AF256" s="240"/>
    </row>
    <row r="257" spans="1:32" s="203" customFormat="1">
      <c r="A257" s="362" t="s">
        <v>130</v>
      </c>
      <c r="B257" s="271" t="s">
        <v>814</v>
      </c>
      <c r="C257" s="273">
        <v>159823</v>
      </c>
      <c r="D257" s="359">
        <v>14</v>
      </c>
      <c r="E257" s="225">
        <f t="shared" si="14"/>
        <v>0</v>
      </c>
      <c r="F257" s="229">
        <f t="shared" si="15"/>
        <v>0</v>
      </c>
      <c r="G257" s="226"/>
      <c r="H257" s="201"/>
      <c r="I257" s="226"/>
      <c r="J257" s="201"/>
      <c r="K257" s="228"/>
      <c r="L257" s="228"/>
      <c r="M257" s="228"/>
      <c r="N257" s="202"/>
      <c r="O257" s="202"/>
      <c r="P257" s="202"/>
      <c r="Q257" s="228"/>
      <c r="R257" s="201"/>
      <c r="S257" s="225">
        <f t="shared" si="16"/>
        <v>0</v>
      </c>
      <c r="T257" s="229">
        <f t="shared" si="17"/>
        <v>0</v>
      </c>
      <c r="U257" s="226"/>
      <c r="V257" s="201"/>
      <c r="W257" s="226"/>
      <c r="X257" s="201"/>
      <c r="Y257" s="228"/>
      <c r="Z257" s="228"/>
      <c r="AA257" s="228"/>
      <c r="AB257" s="202"/>
      <c r="AC257" s="202"/>
      <c r="AD257" s="202"/>
      <c r="AE257" s="228"/>
      <c r="AF257" s="240"/>
    </row>
    <row r="258" spans="1:32" s="203" customFormat="1">
      <c r="A258" s="362" t="s">
        <v>130</v>
      </c>
      <c r="B258" s="361" t="s">
        <v>815</v>
      </c>
      <c r="C258" s="362">
        <v>159984</v>
      </c>
      <c r="D258" s="363">
        <v>14</v>
      </c>
      <c r="E258" s="225">
        <f t="shared" si="14"/>
        <v>0</v>
      </c>
      <c r="F258" s="229">
        <f t="shared" si="15"/>
        <v>0</v>
      </c>
      <c r="G258" s="226"/>
      <c r="H258" s="201"/>
      <c r="I258" s="226"/>
      <c r="J258" s="201"/>
      <c r="K258" s="228"/>
      <c r="L258" s="228"/>
      <c r="M258" s="228"/>
      <c r="N258" s="202"/>
      <c r="O258" s="202"/>
      <c r="P258" s="202"/>
      <c r="Q258" s="228"/>
      <c r="R258" s="201"/>
      <c r="S258" s="225">
        <f t="shared" si="16"/>
        <v>0</v>
      </c>
      <c r="T258" s="229">
        <f t="shared" si="17"/>
        <v>0</v>
      </c>
      <c r="U258" s="226"/>
      <c r="V258" s="201"/>
      <c r="W258" s="226"/>
      <c r="X258" s="201"/>
      <c r="Y258" s="228"/>
      <c r="Z258" s="228"/>
      <c r="AA258" s="228"/>
      <c r="AB258" s="202"/>
      <c r="AC258" s="202"/>
      <c r="AD258" s="202"/>
      <c r="AE258" s="228"/>
      <c r="AF258" s="240"/>
    </row>
    <row r="259" spans="1:32" s="203" customFormat="1">
      <c r="A259" s="362" t="s">
        <v>130</v>
      </c>
      <c r="B259" s="361" t="s">
        <v>816</v>
      </c>
      <c r="C259" s="362">
        <v>160001</v>
      </c>
      <c r="D259" s="363">
        <v>14</v>
      </c>
      <c r="E259" s="225">
        <f t="shared" si="14"/>
        <v>0</v>
      </c>
      <c r="F259" s="229">
        <f t="shared" si="15"/>
        <v>0</v>
      </c>
      <c r="G259" s="226"/>
      <c r="H259" s="201"/>
      <c r="I259" s="226"/>
      <c r="J259" s="201"/>
      <c r="K259" s="228"/>
      <c r="L259" s="228"/>
      <c r="M259" s="228"/>
      <c r="N259" s="202"/>
      <c r="O259" s="202"/>
      <c r="P259" s="202"/>
      <c r="Q259" s="228"/>
      <c r="R259" s="201"/>
      <c r="S259" s="225">
        <f t="shared" si="16"/>
        <v>0</v>
      </c>
      <c r="T259" s="229">
        <f t="shared" si="17"/>
        <v>0</v>
      </c>
      <c r="U259" s="226"/>
      <c r="V259" s="201"/>
      <c r="W259" s="226"/>
      <c r="X259" s="201"/>
      <c r="Y259" s="228"/>
      <c r="Z259" s="228"/>
      <c r="AA259" s="228"/>
      <c r="AB259" s="202"/>
      <c r="AC259" s="202"/>
      <c r="AD259" s="202"/>
      <c r="AE259" s="228"/>
      <c r="AF259" s="240"/>
    </row>
    <row r="260" spans="1:32" s="203" customFormat="1">
      <c r="A260" s="362" t="s">
        <v>130</v>
      </c>
      <c r="B260" s="361" t="s">
        <v>817</v>
      </c>
      <c r="C260" s="362">
        <v>160010</v>
      </c>
      <c r="D260" s="363">
        <v>14</v>
      </c>
      <c r="E260" s="225">
        <f t="shared" si="14"/>
        <v>0</v>
      </c>
      <c r="F260" s="229">
        <f t="shared" si="15"/>
        <v>0</v>
      </c>
      <c r="G260" s="226"/>
      <c r="H260" s="201"/>
      <c r="I260" s="226"/>
      <c r="J260" s="201"/>
      <c r="K260" s="228"/>
      <c r="L260" s="228"/>
      <c r="M260" s="228"/>
      <c r="N260" s="202"/>
      <c r="O260" s="202"/>
      <c r="P260" s="202"/>
      <c r="Q260" s="228"/>
      <c r="R260" s="201"/>
      <c r="S260" s="225">
        <f t="shared" si="16"/>
        <v>0</v>
      </c>
      <c r="T260" s="229">
        <f t="shared" si="17"/>
        <v>0</v>
      </c>
      <c r="U260" s="226"/>
      <c r="V260" s="201"/>
      <c r="W260" s="226"/>
      <c r="X260" s="201"/>
      <c r="Y260" s="228"/>
      <c r="Z260" s="228"/>
      <c r="AA260" s="228"/>
      <c r="AB260" s="202"/>
      <c r="AC260" s="202"/>
      <c r="AD260" s="202"/>
      <c r="AE260" s="228"/>
      <c r="AF260" s="240"/>
    </row>
    <row r="261" spans="1:32" s="203" customFormat="1">
      <c r="A261" s="362" t="s">
        <v>130</v>
      </c>
      <c r="B261" s="361" t="s">
        <v>818</v>
      </c>
      <c r="C261" s="362">
        <v>160047</v>
      </c>
      <c r="D261" s="363">
        <v>14</v>
      </c>
      <c r="E261" s="225">
        <f t="shared" si="14"/>
        <v>0</v>
      </c>
      <c r="F261" s="229">
        <f t="shared" si="15"/>
        <v>0</v>
      </c>
      <c r="G261" s="226"/>
      <c r="H261" s="201"/>
      <c r="I261" s="226"/>
      <c r="J261" s="201"/>
      <c r="K261" s="228"/>
      <c r="L261" s="228"/>
      <c r="M261" s="228"/>
      <c r="N261" s="202"/>
      <c r="O261" s="202"/>
      <c r="P261" s="202"/>
      <c r="Q261" s="228"/>
      <c r="R261" s="201"/>
      <c r="S261" s="225">
        <f t="shared" si="16"/>
        <v>0</v>
      </c>
      <c r="T261" s="229">
        <f t="shared" si="17"/>
        <v>0</v>
      </c>
      <c r="U261" s="226"/>
      <c r="V261" s="201"/>
      <c r="W261" s="226"/>
      <c r="X261" s="201"/>
      <c r="Y261" s="228"/>
      <c r="Z261" s="228"/>
      <c r="AA261" s="228"/>
      <c r="AB261" s="202"/>
      <c r="AC261" s="202"/>
      <c r="AD261" s="202"/>
      <c r="AE261" s="228"/>
      <c r="AF261" s="240"/>
    </row>
    <row r="262" spans="1:32" s="203" customFormat="1">
      <c r="A262" s="362" t="s">
        <v>130</v>
      </c>
      <c r="B262" s="361" t="s">
        <v>819</v>
      </c>
      <c r="C262" s="362">
        <v>160311</v>
      </c>
      <c r="D262" s="363">
        <v>14</v>
      </c>
      <c r="E262" s="225">
        <f t="shared" ref="E262:E325" si="18">SUM(G262,I262,K262,L262,M262,Q262)</f>
        <v>0</v>
      </c>
      <c r="F262" s="229">
        <f t="shared" ref="F262:F325" si="19">SUM(H262,J262,N262,O262,P262,R262)</f>
        <v>0</v>
      </c>
      <c r="G262" s="226"/>
      <c r="H262" s="201"/>
      <c r="I262" s="226"/>
      <c r="J262" s="201"/>
      <c r="K262" s="228"/>
      <c r="L262" s="228"/>
      <c r="M262" s="228"/>
      <c r="N262" s="202"/>
      <c r="O262" s="202"/>
      <c r="P262" s="202"/>
      <c r="Q262" s="228"/>
      <c r="R262" s="201"/>
      <c r="S262" s="225">
        <f t="shared" ref="S262:S325" si="20">SUM(U262,W262,Y262,Z262,AA262,AE262)</f>
        <v>0</v>
      </c>
      <c r="T262" s="229">
        <f t="shared" ref="T262:T325" si="21">SUM(V262,X262,AB262,AC262,AD262,AF262)</f>
        <v>0</v>
      </c>
      <c r="U262" s="226"/>
      <c r="V262" s="201"/>
      <c r="W262" s="226"/>
      <c r="X262" s="201"/>
      <c r="Y262" s="228"/>
      <c r="Z262" s="228"/>
      <c r="AA262" s="228"/>
      <c r="AB262" s="202"/>
      <c r="AC262" s="202"/>
      <c r="AD262" s="202"/>
      <c r="AE262" s="228"/>
      <c r="AF262" s="240"/>
    </row>
    <row r="263" spans="1:32" s="203" customFormat="1">
      <c r="A263" s="362" t="s">
        <v>130</v>
      </c>
      <c r="B263" s="361" t="s">
        <v>820</v>
      </c>
      <c r="C263" s="362">
        <v>160366</v>
      </c>
      <c r="D263" s="363">
        <v>14</v>
      </c>
      <c r="E263" s="225">
        <f t="shared" si="18"/>
        <v>0</v>
      </c>
      <c r="F263" s="229">
        <f t="shared" si="19"/>
        <v>0</v>
      </c>
      <c r="G263" s="226"/>
      <c r="H263" s="201"/>
      <c r="I263" s="226"/>
      <c r="J263" s="201"/>
      <c r="K263" s="228"/>
      <c r="L263" s="228"/>
      <c r="M263" s="228"/>
      <c r="N263" s="202"/>
      <c r="O263" s="202"/>
      <c r="P263" s="202"/>
      <c r="Q263" s="228"/>
      <c r="R263" s="201"/>
      <c r="S263" s="225">
        <f t="shared" si="20"/>
        <v>0</v>
      </c>
      <c r="T263" s="229">
        <f t="shared" si="21"/>
        <v>0</v>
      </c>
      <c r="U263" s="226"/>
      <c r="V263" s="201"/>
      <c r="W263" s="226"/>
      <c r="X263" s="201"/>
      <c r="Y263" s="228"/>
      <c r="Z263" s="228"/>
      <c r="AA263" s="228"/>
      <c r="AB263" s="202"/>
      <c r="AC263" s="202"/>
      <c r="AD263" s="202"/>
      <c r="AE263" s="228"/>
      <c r="AF263" s="240"/>
    </row>
    <row r="264" spans="1:32" s="203" customFormat="1">
      <c r="A264" s="362" t="s">
        <v>130</v>
      </c>
      <c r="B264" s="361" t="s">
        <v>821</v>
      </c>
      <c r="C264" s="362">
        <v>160384</v>
      </c>
      <c r="D264" s="366">
        <v>14</v>
      </c>
      <c r="E264" s="225">
        <f t="shared" si="18"/>
        <v>0</v>
      </c>
      <c r="F264" s="229">
        <f t="shared" si="19"/>
        <v>0</v>
      </c>
      <c r="G264" s="226"/>
      <c r="H264" s="201"/>
      <c r="I264" s="226"/>
      <c r="J264" s="201"/>
      <c r="K264" s="228"/>
      <c r="L264" s="228"/>
      <c r="M264" s="228"/>
      <c r="N264" s="202"/>
      <c r="O264" s="202"/>
      <c r="P264" s="202"/>
      <c r="Q264" s="228"/>
      <c r="R264" s="201"/>
      <c r="S264" s="225">
        <f t="shared" si="20"/>
        <v>0</v>
      </c>
      <c r="T264" s="229">
        <f t="shared" si="21"/>
        <v>0</v>
      </c>
      <c r="U264" s="226"/>
      <c r="V264" s="201"/>
      <c r="W264" s="226"/>
      <c r="X264" s="201"/>
      <c r="Y264" s="228"/>
      <c r="Z264" s="228"/>
      <c r="AA264" s="228"/>
      <c r="AB264" s="202"/>
      <c r="AC264" s="202"/>
      <c r="AD264" s="202"/>
      <c r="AE264" s="228"/>
      <c r="AF264" s="240"/>
    </row>
    <row r="265" spans="1:32" s="203" customFormat="1">
      <c r="A265" s="362" t="s">
        <v>130</v>
      </c>
      <c r="B265" s="361" t="s">
        <v>822</v>
      </c>
      <c r="C265" s="362">
        <v>158583</v>
      </c>
      <c r="D265" s="363">
        <v>14</v>
      </c>
      <c r="E265" s="225">
        <f t="shared" si="18"/>
        <v>0</v>
      </c>
      <c r="F265" s="229">
        <f t="shared" si="19"/>
        <v>0</v>
      </c>
      <c r="G265" s="226"/>
      <c r="H265" s="201"/>
      <c r="I265" s="226"/>
      <c r="J265" s="201"/>
      <c r="K265" s="228"/>
      <c r="L265" s="228"/>
      <c r="M265" s="228"/>
      <c r="N265" s="202"/>
      <c r="O265" s="202"/>
      <c r="P265" s="202"/>
      <c r="Q265" s="228"/>
      <c r="R265" s="201"/>
      <c r="S265" s="225">
        <f t="shared" si="20"/>
        <v>0</v>
      </c>
      <c r="T265" s="229">
        <f t="shared" si="21"/>
        <v>0</v>
      </c>
      <c r="U265" s="226"/>
      <c r="V265" s="201"/>
      <c r="W265" s="226"/>
      <c r="X265" s="201"/>
      <c r="Y265" s="228"/>
      <c r="Z265" s="228"/>
      <c r="AA265" s="228"/>
      <c r="AB265" s="202"/>
      <c r="AC265" s="202"/>
      <c r="AD265" s="202"/>
      <c r="AE265" s="228"/>
      <c r="AF265" s="240"/>
    </row>
    <row r="266" spans="1:32" s="203" customFormat="1">
      <c r="A266" s="362" t="s">
        <v>130</v>
      </c>
      <c r="B266" s="361" t="s">
        <v>823</v>
      </c>
      <c r="C266" s="362">
        <v>160427</v>
      </c>
      <c r="D266" s="363">
        <v>14</v>
      </c>
      <c r="E266" s="225">
        <f t="shared" si="18"/>
        <v>0</v>
      </c>
      <c r="F266" s="229">
        <f t="shared" si="19"/>
        <v>0</v>
      </c>
      <c r="G266" s="226"/>
      <c r="H266" s="201"/>
      <c r="I266" s="226"/>
      <c r="J266" s="201"/>
      <c r="K266" s="228"/>
      <c r="L266" s="228"/>
      <c r="M266" s="228"/>
      <c r="N266" s="202"/>
      <c r="O266" s="202"/>
      <c r="P266" s="202"/>
      <c r="Q266" s="228"/>
      <c r="R266" s="201"/>
      <c r="S266" s="225">
        <f t="shared" si="20"/>
        <v>0</v>
      </c>
      <c r="T266" s="229">
        <f t="shared" si="21"/>
        <v>0</v>
      </c>
      <c r="U266" s="226"/>
      <c r="V266" s="201"/>
      <c r="W266" s="226"/>
      <c r="X266" s="201"/>
      <c r="Y266" s="228"/>
      <c r="Z266" s="228"/>
      <c r="AA266" s="228"/>
      <c r="AB266" s="202"/>
      <c r="AC266" s="202"/>
      <c r="AD266" s="202"/>
      <c r="AE266" s="228"/>
      <c r="AF266" s="240"/>
    </row>
    <row r="267" spans="1:32" s="203" customFormat="1">
      <c r="A267" s="362" t="s">
        <v>130</v>
      </c>
      <c r="B267" s="361" t="s">
        <v>824</v>
      </c>
      <c r="C267" s="362">
        <v>160436</v>
      </c>
      <c r="D267" s="363">
        <v>14</v>
      </c>
      <c r="E267" s="225">
        <f t="shared" si="18"/>
        <v>0</v>
      </c>
      <c r="F267" s="229">
        <f t="shared" si="19"/>
        <v>0</v>
      </c>
      <c r="G267" s="226"/>
      <c r="H267" s="201"/>
      <c r="I267" s="226"/>
      <c r="J267" s="201"/>
      <c r="K267" s="228"/>
      <c r="L267" s="228"/>
      <c r="M267" s="228"/>
      <c r="N267" s="202"/>
      <c r="O267" s="202"/>
      <c r="P267" s="202"/>
      <c r="Q267" s="228"/>
      <c r="R267" s="201"/>
      <c r="S267" s="225">
        <f t="shared" si="20"/>
        <v>0</v>
      </c>
      <c r="T267" s="229">
        <f t="shared" si="21"/>
        <v>0</v>
      </c>
      <c r="U267" s="226"/>
      <c r="V267" s="201"/>
      <c r="W267" s="226"/>
      <c r="X267" s="201"/>
      <c r="Y267" s="228"/>
      <c r="Z267" s="228"/>
      <c r="AA267" s="228"/>
      <c r="AB267" s="202"/>
      <c r="AC267" s="202"/>
      <c r="AD267" s="202"/>
      <c r="AE267" s="228"/>
      <c r="AF267" s="240"/>
    </row>
    <row r="268" spans="1:32" s="203" customFormat="1">
      <c r="A268" s="362" t="s">
        <v>130</v>
      </c>
      <c r="B268" s="361" t="s">
        <v>825</v>
      </c>
      <c r="C268" s="362">
        <v>160454</v>
      </c>
      <c r="D268" s="363">
        <v>14</v>
      </c>
      <c r="E268" s="225">
        <f t="shared" si="18"/>
        <v>0</v>
      </c>
      <c r="F268" s="229">
        <f t="shared" si="19"/>
        <v>0</v>
      </c>
      <c r="G268" s="226"/>
      <c r="H268" s="201"/>
      <c r="I268" s="226"/>
      <c r="J268" s="201"/>
      <c r="K268" s="228"/>
      <c r="L268" s="228"/>
      <c r="M268" s="228"/>
      <c r="N268" s="202"/>
      <c r="O268" s="202"/>
      <c r="P268" s="202"/>
      <c r="Q268" s="228"/>
      <c r="R268" s="201"/>
      <c r="S268" s="225">
        <f t="shared" si="20"/>
        <v>0</v>
      </c>
      <c r="T268" s="229">
        <f t="shared" si="21"/>
        <v>0</v>
      </c>
      <c r="U268" s="226"/>
      <c r="V268" s="201"/>
      <c r="W268" s="226"/>
      <c r="X268" s="201"/>
      <c r="Y268" s="228"/>
      <c r="Z268" s="228"/>
      <c r="AA268" s="228"/>
      <c r="AB268" s="202"/>
      <c r="AC268" s="202"/>
      <c r="AD268" s="202"/>
      <c r="AE268" s="228"/>
      <c r="AF268" s="240"/>
    </row>
    <row r="269" spans="1:32" s="203" customFormat="1">
      <c r="A269" s="362" t="s">
        <v>130</v>
      </c>
      <c r="B269" s="361" t="s">
        <v>826</v>
      </c>
      <c r="C269" s="362">
        <v>160667</v>
      </c>
      <c r="D269" s="363">
        <v>14</v>
      </c>
      <c r="E269" s="225">
        <f t="shared" si="18"/>
        <v>0</v>
      </c>
      <c r="F269" s="229">
        <f t="shared" si="19"/>
        <v>0</v>
      </c>
      <c r="G269" s="226"/>
      <c r="H269" s="201"/>
      <c r="I269" s="226"/>
      <c r="J269" s="201"/>
      <c r="K269" s="228"/>
      <c r="L269" s="228"/>
      <c r="M269" s="228"/>
      <c r="N269" s="202"/>
      <c r="O269" s="202"/>
      <c r="P269" s="202"/>
      <c r="Q269" s="228"/>
      <c r="R269" s="201"/>
      <c r="S269" s="225">
        <f t="shared" si="20"/>
        <v>0</v>
      </c>
      <c r="T269" s="229">
        <f t="shared" si="21"/>
        <v>0</v>
      </c>
      <c r="U269" s="226"/>
      <c r="V269" s="201"/>
      <c r="W269" s="226"/>
      <c r="X269" s="201"/>
      <c r="Y269" s="228"/>
      <c r="Z269" s="228"/>
      <c r="AA269" s="228"/>
      <c r="AB269" s="202"/>
      <c r="AC269" s="202"/>
      <c r="AD269" s="202"/>
      <c r="AE269" s="228"/>
      <c r="AF269" s="240"/>
    </row>
    <row r="270" spans="1:32" s="203" customFormat="1">
      <c r="A270" s="362" t="s">
        <v>130</v>
      </c>
      <c r="B270" s="361" t="s">
        <v>827</v>
      </c>
      <c r="C270" s="362">
        <v>160676</v>
      </c>
      <c r="D270" s="363">
        <v>14</v>
      </c>
      <c r="E270" s="225">
        <f t="shared" si="18"/>
        <v>0</v>
      </c>
      <c r="F270" s="229">
        <f t="shared" si="19"/>
        <v>0</v>
      </c>
      <c r="G270" s="226"/>
      <c r="H270" s="201"/>
      <c r="I270" s="226"/>
      <c r="J270" s="201"/>
      <c r="K270" s="228"/>
      <c r="L270" s="228"/>
      <c r="M270" s="228"/>
      <c r="N270" s="202"/>
      <c r="O270" s="202"/>
      <c r="P270" s="202"/>
      <c r="Q270" s="228"/>
      <c r="R270" s="201"/>
      <c r="S270" s="225">
        <f t="shared" si="20"/>
        <v>0</v>
      </c>
      <c r="T270" s="229">
        <f t="shared" si="21"/>
        <v>0</v>
      </c>
      <c r="U270" s="226"/>
      <c r="V270" s="201"/>
      <c r="W270" s="226"/>
      <c r="X270" s="201"/>
      <c r="Y270" s="228"/>
      <c r="Z270" s="228"/>
      <c r="AA270" s="228"/>
      <c r="AB270" s="202"/>
      <c r="AC270" s="202"/>
      <c r="AD270" s="202"/>
      <c r="AE270" s="228"/>
      <c r="AF270" s="240"/>
    </row>
    <row r="271" spans="1:32" s="203" customFormat="1">
      <c r="A271" s="362" t="s">
        <v>130</v>
      </c>
      <c r="B271" s="361" t="s">
        <v>828</v>
      </c>
      <c r="C271" s="362">
        <v>160685</v>
      </c>
      <c r="D271" s="363">
        <v>14</v>
      </c>
      <c r="E271" s="225">
        <f t="shared" si="18"/>
        <v>0</v>
      </c>
      <c r="F271" s="229">
        <f t="shared" si="19"/>
        <v>0</v>
      </c>
      <c r="G271" s="226"/>
      <c r="H271" s="395"/>
      <c r="I271" s="226"/>
      <c r="J271" s="395"/>
      <c r="K271" s="228"/>
      <c r="L271" s="228"/>
      <c r="M271" s="228"/>
      <c r="N271" s="395"/>
      <c r="O271" s="395"/>
      <c r="P271" s="395"/>
      <c r="Q271" s="228"/>
      <c r="R271" s="395"/>
      <c r="S271" s="225">
        <f t="shared" si="20"/>
        <v>0</v>
      </c>
      <c r="T271" s="229">
        <f t="shared" si="21"/>
        <v>0</v>
      </c>
      <c r="U271" s="226"/>
      <c r="V271" s="395"/>
      <c r="W271" s="226"/>
      <c r="X271" s="395"/>
      <c r="Y271" s="228"/>
      <c r="Z271" s="228"/>
      <c r="AA271" s="228"/>
      <c r="AB271" s="395"/>
      <c r="AC271" s="395"/>
      <c r="AD271" s="395"/>
      <c r="AE271" s="228"/>
      <c r="AF271" s="395"/>
    </row>
    <row r="272" spans="1:32" s="203" customFormat="1">
      <c r="A272" s="362" t="s">
        <v>130</v>
      </c>
      <c r="B272" s="361" t="s">
        <v>829</v>
      </c>
      <c r="C272" s="362">
        <v>160694</v>
      </c>
      <c r="D272" s="363">
        <v>14</v>
      </c>
      <c r="E272" s="225">
        <f t="shared" si="18"/>
        <v>0</v>
      </c>
      <c r="F272" s="229">
        <f t="shared" si="19"/>
        <v>0</v>
      </c>
      <c r="G272" s="226"/>
      <c r="H272" s="395"/>
      <c r="I272" s="226"/>
      <c r="J272" s="395"/>
      <c r="K272" s="228"/>
      <c r="L272" s="228"/>
      <c r="M272" s="228"/>
      <c r="N272" s="395"/>
      <c r="O272" s="395"/>
      <c r="P272" s="395"/>
      <c r="Q272" s="228"/>
      <c r="R272" s="395"/>
      <c r="S272" s="225">
        <f t="shared" si="20"/>
        <v>0</v>
      </c>
      <c r="T272" s="229">
        <f t="shared" si="21"/>
        <v>0</v>
      </c>
      <c r="U272" s="226"/>
      <c r="V272" s="395"/>
      <c r="W272" s="226"/>
      <c r="X272" s="395"/>
      <c r="Y272" s="228"/>
      <c r="Z272" s="228"/>
      <c r="AA272" s="228"/>
      <c r="AB272" s="395"/>
      <c r="AC272" s="395"/>
      <c r="AD272" s="395"/>
      <c r="AE272" s="228"/>
      <c r="AF272" s="395"/>
    </row>
    <row r="273" spans="1:32" s="203" customFormat="1">
      <c r="A273" s="362" t="s">
        <v>130</v>
      </c>
      <c r="B273" s="361" t="s">
        <v>830</v>
      </c>
      <c r="C273" s="362">
        <v>159267</v>
      </c>
      <c r="D273" s="363">
        <v>14</v>
      </c>
      <c r="E273" s="225">
        <f t="shared" si="18"/>
        <v>0</v>
      </c>
      <c r="F273" s="229">
        <f t="shared" si="19"/>
        <v>0</v>
      </c>
      <c r="G273" s="226"/>
      <c r="H273" s="395"/>
      <c r="I273" s="226"/>
      <c r="J273" s="395"/>
      <c r="K273" s="228"/>
      <c r="L273" s="228"/>
      <c r="M273" s="228"/>
      <c r="N273" s="395"/>
      <c r="O273" s="395"/>
      <c r="P273" s="395"/>
      <c r="Q273" s="228"/>
      <c r="R273" s="395"/>
      <c r="S273" s="225">
        <f t="shared" si="20"/>
        <v>0</v>
      </c>
      <c r="T273" s="229">
        <f t="shared" si="21"/>
        <v>0</v>
      </c>
      <c r="U273" s="226"/>
      <c r="V273" s="395"/>
      <c r="W273" s="226"/>
      <c r="X273" s="395"/>
      <c r="Y273" s="228"/>
      <c r="Z273" s="228"/>
      <c r="AA273" s="228"/>
      <c r="AB273" s="395"/>
      <c r="AC273" s="395"/>
      <c r="AD273" s="395"/>
      <c r="AE273" s="228"/>
      <c r="AF273" s="395"/>
    </row>
    <row r="274" spans="1:32" s="203" customFormat="1">
      <c r="A274" s="362" t="s">
        <v>130</v>
      </c>
      <c r="B274" s="361" t="s">
        <v>831</v>
      </c>
      <c r="C274" s="362">
        <v>160870</v>
      </c>
      <c r="D274" s="363">
        <v>14</v>
      </c>
      <c r="E274" s="225">
        <f t="shared" si="18"/>
        <v>0</v>
      </c>
      <c r="F274" s="229">
        <f t="shared" si="19"/>
        <v>0</v>
      </c>
      <c r="G274" s="226"/>
      <c r="H274" s="395"/>
      <c r="I274" s="226"/>
      <c r="J274" s="395"/>
      <c r="K274" s="228"/>
      <c r="L274" s="228"/>
      <c r="M274" s="228"/>
      <c r="N274" s="395"/>
      <c r="O274" s="395"/>
      <c r="P274" s="395"/>
      <c r="Q274" s="228"/>
      <c r="R274" s="395"/>
      <c r="S274" s="225">
        <f t="shared" si="20"/>
        <v>0</v>
      </c>
      <c r="T274" s="229">
        <f t="shared" si="21"/>
        <v>0</v>
      </c>
      <c r="U274" s="226"/>
      <c r="V274" s="395"/>
      <c r="W274" s="226"/>
      <c r="X274" s="395"/>
      <c r="Y274" s="228"/>
      <c r="Z274" s="228"/>
      <c r="AA274" s="228"/>
      <c r="AB274" s="395"/>
      <c r="AC274" s="395"/>
      <c r="AD274" s="395"/>
      <c r="AE274" s="228"/>
      <c r="AF274" s="395"/>
    </row>
    <row r="275" spans="1:32" s="203" customFormat="1">
      <c r="A275" s="362" t="s">
        <v>130</v>
      </c>
      <c r="B275" s="361" t="s">
        <v>832</v>
      </c>
      <c r="C275" s="362">
        <v>160913</v>
      </c>
      <c r="D275" s="363">
        <v>14</v>
      </c>
      <c r="E275" s="225">
        <f t="shared" si="18"/>
        <v>0</v>
      </c>
      <c r="F275" s="229">
        <f t="shared" si="19"/>
        <v>0</v>
      </c>
      <c r="G275" s="226"/>
      <c r="H275" s="395"/>
      <c r="I275" s="226"/>
      <c r="J275" s="395"/>
      <c r="K275" s="228"/>
      <c r="L275" s="228"/>
      <c r="M275" s="228"/>
      <c r="N275" s="395"/>
      <c r="O275" s="395"/>
      <c r="P275" s="395"/>
      <c r="Q275" s="228"/>
      <c r="R275" s="395"/>
      <c r="S275" s="225">
        <f t="shared" si="20"/>
        <v>0</v>
      </c>
      <c r="T275" s="229">
        <f t="shared" si="21"/>
        <v>0</v>
      </c>
      <c r="U275" s="226"/>
      <c r="V275" s="395"/>
      <c r="W275" s="226"/>
      <c r="X275" s="395"/>
      <c r="Y275" s="228"/>
      <c r="Z275" s="228"/>
      <c r="AA275" s="228"/>
      <c r="AB275" s="395"/>
      <c r="AC275" s="395"/>
      <c r="AD275" s="395"/>
      <c r="AE275" s="228"/>
      <c r="AF275" s="395"/>
    </row>
    <row r="276" spans="1:32" s="203" customFormat="1">
      <c r="A276" s="275" t="s">
        <v>218</v>
      </c>
      <c r="B276" s="284" t="s">
        <v>432</v>
      </c>
      <c r="C276" s="275">
        <v>163286</v>
      </c>
      <c r="D276" s="369">
        <v>1</v>
      </c>
      <c r="E276" s="225">
        <f t="shared" si="18"/>
        <v>772784</v>
      </c>
      <c r="F276" s="229">
        <f t="shared" si="19"/>
        <v>779086.5</v>
      </c>
      <c r="G276" s="226">
        <v>754358</v>
      </c>
      <c r="H276" s="368">
        <v>760602.5</v>
      </c>
      <c r="I276" s="226">
        <v>14990</v>
      </c>
      <c r="J276" s="368">
        <v>14058</v>
      </c>
      <c r="K276" s="228">
        <v>2803</v>
      </c>
      <c r="L276" s="228">
        <v>633</v>
      </c>
      <c r="M276" s="228">
        <v>0</v>
      </c>
      <c r="N276" s="368">
        <v>4087</v>
      </c>
      <c r="O276" s="368">
        <v>339</v>
      </c>
      <c r="P276" s="368">
        <v>0</v>
      </c>
      <c r="Q276" s="228">
        <v>0</v>
      </c>
      <c r="R276" s="368">
        <v>0</v>
      </c>
      <c r="S276" s="225">
        <f t="shared" si="20"/>
        <v>149363</v>
      </c>
      <c r="T276" s="229">
        <f t="shared" si="21"/>
        <v>148639.25</v>
      </c>
      <c r="U276" s="226">
        <v>117447</v>
      </c>
      <c r="V276" s="368">
        <v>115063.25</v>
      </c>
      <c r="W276" s="226">
        <v>27850</v>
      </c>
      <c r="X276" s="368">
        <v>29747</v>
      </c>
      <c r="Y276" s="228">
        <v>3234</v>
      </c>
      <c r="Z276" s="228">
        <v>832</v>
      </c>
      <c r="AA276" s="228"/>
      <c r="AB276" s="368">
        <v>3092</v>
      </c>
      <c r="AC276" s="368">
        <v>737</v>
      </c>
      <c r="AD276" s="368">
        <v>0</v>
      </c>
      <c r="AE276" s="228"/>
      <c r="AF276" s="368">
        <v>0</v>
      </c>
    </row>
    <row r="277" spans="1:32" s="203" customFormat="1">
      <c r="A277" s="275" t="s">
        <v>218</v>
      </c>
      <c r="B277" s="284" t="s">
        <v>433</v>
      </c>
      <c r="C277" s="275">
        <v>163268</v>
      </c>
      <c r="D277" s="367">
        <v>2</v>
      </c>
      <c r="E277" s="225">
        <f t="shared" si="18"/>
        <v>256485</v>
      </c>
      <c r="F277" s="229">
        <f t="shared" si="19"/>
        <v>252345</v>
      </c>
      <c r="G277" s="226">
        <v>251714</v>
      </c>
      <c r="H277" s="368">
        <v>246729</v>
      </c>
      <c r="I277" s="226">
        <v>4015</v>
      </c>
      <c r="J277" s="368">
        <v>4678</v>
      </c>
      <c r="K277" s="228">
        <v>756</v>
      </c>
      <c r="L277" s="228"/>
      <c r="M277" s="228"/>
      <c r="N277" s="368">
        <v>938</v>
      </c>
      <c r="O277" s="368">
        <v>0</v>
      </c>
      <c r="P277" s="368">
        <v>0</v>
      </c>
      <c r="Q277" s="228"/>
      <c r="R277" s="368">
        <v>0</v>
      </c>
      <c r="S277" s="225">
        <f t="shared" si="20"/>
        <v>23578</v>
      </c>
      <c r="T277" s="229">
        <f t="shared" si="21"/>
        <v>25309</v>
      </c>
      <c r="U277" s="226">
        <v>18185</v>
      </c>
      <c r="V277" s="368">
        <v>18667</v>
      </c>
      <c r="W277" s="226">
        <v>2335</v>
      </c>
      <c r="X277" s="368">
        <v>3159</v>
      </c>
      <c r="Y277" s="228">
        <v>3058</v>
      </c>
      <c r="Z277" s="228"/>
      <c r="AA277" s="228"/>
      <c r="AB277" s="368">
        <v>3483</v>
      </c>
      <c r="AC277" s="368">
        <v>0</v>
      </c>
      <c r="AD277" s="368">
        <v>0</v>
      </c>
      <c r="AE277" s="228"/>
      <c r="AF277" s="368">
        <v>0</v>
      </c>
    </row>
    <row r="278" spans="1:32" s="203" customFormat="1">
      <c r="A278" s="275" t="s">
        <v>218</v>
      </c>
      <c r="B278" s="274" t="s">
        <v>438</v>
      </c>
      <c r="C278" s="275">
        <v>163453</v>
      </c>
      <c r="D278" s="276">
        <v>3</v>
      </c>
      <c r="E278" s="225">
        <f t="shared" si="18"/>
        <v>159957</v>
      </c>
      <c r="F278" s="229">
        <f t="shared" si="19"/>
        <v>163588</v>
      </c>
      <c r="G278" s="226">
        <v>159829</v>
      </c>
      <c r="H278" s="368">
        <v>163087</v>
      </c>
      <c r="I278" s="226">
        <v>128</v>
      </c>
      <c r="J278" s="368">
        <v>362</v>
      </c>
      <c r="K278" s="228"/>
      <c r="L278" s="228"/>
      <c r="M278" s="228"/>
      <c r="N278" s="368">
        <v>139</v>
      </c>
      <c r="O278" s="368">
        <v>0</v>
      </c>
      <c r="P278" s="368">
        <v>0</v>
      </c>
      <c r="Q278" s="228"/>
      <c r="R278" s="368">
        <v>0</v>
      </c>
      <c r="S278" s="225">
        <f t="shared" si="20"/>
        <v>11867</v>
      </c>
      <c r="T278" s="229">
        <f t="shared" si="21"/>
        <v>13707</v>
      </c>
      <c r="U278" s="226">
        <v>11867</v>
      </c>
      <c r="V278" s="368">
        <v>13263</v>
      </c>
      <c r="W278" s="226"/>
      <c r="X278" s="368">
        <v>423</v>
      </c>
      <c r="Y278" s="228"/>
      <c r="Z278" s="228"/>
      <c r="AA278" s="228"/>
      <c r="AB278" s="368">
        <v>21</v>
      </c>
      <c r="AC278" s="368">
        <v>0</v>
      </c>
      <c r="AD278" s="368">
        <v>0</v>
      </c>
      <c r="AE278" s="228"/>
      <c r="AF278" s="368">
        <v>0</v>
      </c>
    </row>
    <row r="279" spans="1:32" s="203" customFormat="1">
      <c r="A279" s="275" t="s">
        <v>218</v>
      </c>
      <c r="B279" s="284" t="s">
        <v>434</v>
      </c>
      <c r="C279" s="275">
        <v>164076</v>
      </c>
      <c r="D279" s="367">
        <v>3</v>
      </c>
      <c r="E279" s="225">
        <f t="shared" si="18"/>
        <v>444576</v>
      </c>
      <c r="F279" s="229">
        <f t="shared" si="19"/>
        <v>476204.5</v>
      </c>
      <c r="G279" s="226">
        <v>426394</v>
      </c>
      <c r="H279" s="368">
        <v>457162.5</v>
      </c>
      <c r="I279" s="226">
        <v>6674</v>
      </c>
      <c r="J279" s="368">
        <v>6662</v>
      </c>
      <c r="K279" s="228">
        <v>11508</v>
      </c>
      <c r="L279" s="228"/>
      <c r="M279" s="228"/>
      <c r="N279" s="368">
        <v>12380</v>
      </c>
      <c r="O279" s="368">
        <v>0</v>
      </c>
      <c r="P279" s="368">
        <v>0</v>
      </c>
      <c r="Q279" s="228"/>
      <c r="R279" s="368">
        <v>0</v>
      </c>
      <c r="S279" s="225">
        <f t="shared" si="20"/>
        <v>53291</v>
      </c>
      <c r="T279" s="229">
        <f t="shared" si="21"/>
        <v>52483</v>
      </c>
      <c r="U279" s="226">
        <v>33780</v>
      </c>
      <c r="V279" s="368">
        <v>31725</v>
      </c>
      <c r="W279" s="226">
        <v>16280</v>
      </c>
      <c r="X279" s="368">
        <v>17128</v>
      </c>
      <c r="Y279" s="228">
        <v>3231</v>
      </c>
      <c r="Z279" s="228"/>
      <c r="AA279" s="228"/>
      <c r="AB279" s="368">
        <v>3630</v>
      </c>
      <c r="AC279" s="368">
        <v>0</v>
      </c>
      <c r="AD279" s="368">
        <v>0</v>
      </c>
      <c r="AE279" s="228"/>
      <c r="AF279" s="368">
        <v>0</v>
      </c>
    </row>
    <row r="280" spans="1:32" s="203" customFormat="1">
      <c r="A280" s="275" t="s">
        <v>218</v>
      </c>
      <c r="B280" s="284" t="s">
        <v>435</v>
      </c>
      <c r="C280" s="275">
        <v>162007</v>
      </c>
      <c r="D280" s="367">
        <v>4</v>
      </c>
      <c r="E280" s="225">
        <f t="shared" si="18"/>
        <v>115867</v>
      </c>
      <c r="F280" s="229">
        <f t="shared" si="19"/>
        <v>119823</v>
      </c>
      <c r="G280" s="226">
        <v>113206</v>
      </c>
      <c r="H280" s="368">
        <v>115507</v>
      </c>
      <c r="I280" s="226">
        <v>66</v>
      </c>
      <c r="J280" s="368">
        <v>848</v>
      </c>
      <c r="K280" s="228"/>
      <c r="L280" s="228"/>
      <c r="M280" s="228">
        <v>2595</v>
      </c>
      <c r="N280" s="368">
        <v>2178</v>
      </c>
      <c r="O280" s="368">
        <v>0</v>
      </c>
      <c r="P280" s="368">
        <v>1290</v>
      </c>
      <c r="Q280" s="228"/>
      <c r="R280" s="368">
        <v>0</v>
      </c>
      <c r="S280" s="225">
        <f t="shared" si="20"/>
        <v>16444</v>
      </c>
      <c r="T280" s="229">
        <f t="shared" si="21"/>
        <v>15774</v>
      </c>
      <c r="U280" s="226">
        <v>15718</v>
      </c>
      <c r="V280" s="368">
        <v>15359</v>
      </c>
      <c r="W280" s="226">
        <v>726</v>
      </c>
      <c r="X280" s="368">
        <v>199</v>
      </c>
      <c r="Y280" s="228">
        <v>0</v>
      </c>
      <c r="Z280" s="228">
        <v>0</v>
      </c>
      <c r="AA280" s="228">
        <v>0</v>
      </c>
      <c r="AB280" s="368">
        <v>216</v>
      </c>
      <c r="AC280" s="368">
        <v>0</v>
      </c>
      <c r="AD280" s="368">
        <v>0</v>
      </c>
      <c r="AE280" s="228"/>
      <c r="AF280" s="368">
        <v>0</v>
      </c>
    </row>
    <row r="281" spans="1:32" s="203" customFormat="1">
      <c r="A281" s="275" t="s">
        <v>218</v>
      </c>
      <c r="B281" s="284" t="s">
        <v>436</v>
      </c>
      <c r="C281" s="275">
        <v>162283</v>
      </c>
      <c r="D281" s="367">
        <v>4</v>
      </c>
      <c r="E281" s="225">
        <f t="shared" si="18"/>
        <v>83133</v>
      </c>
      <c r="F281" s="229">
        <f t="shared" si="19"/>
        <v>84589</v>
      </c>
      <c r="G281" s="226">
        <v>70046</v>
      </c>
      <c r="H281" s="368">
        <v>74909</v>
      </c>
      <c r="I281" s="226">
        <v>2969</v>
      </c>
      <c r="J281" s="368">
        <v>1140</v>
      </c>
      <c r="K281" s="228">
        <v>10118</v>
      </c>
      <c r="L281" s="228"/>
      <c r="M281" s="228"/>
      <c r="N281" s="368">
        <v>8540</v>
      </c>
      <c r="O281" s="368">
        <v>0</v>
      </c>
      <c r="P281" s="368">
        <v>0</v>
      </c>
      <c r="Q281" s="228"/>
      <c r="R281" s="368">
        <v>0</v>
      </c>
      <c r="S281" s="225">
        <f t="shared" si="20"/>
        <v>9305</v>
      </c>
      <c r="T281" s="229">
        <f t="shared" si="21"/>
        <v>9586</v>
      </c>
      <c r="U281" s="226">
        <v>4739</v>
      </c>
      <c r="V281" s="368">
        <v>6685</v>
      </c>
      <c r="W281" s="226">
        <v>3762</v>
      </c>
      <c r="X281" s="368">
        <v>2526</v>
      </c>
      <c r="Y281" s="228">
        <v>804</v>
      </c>
      <c r="Z281" s="228"/>
      <c r="AA281" s="228"/>
      <c r="AB281" s="368">
        <v>375</v>
      </c>
      <c r="AC281" s="368">
        <v>0</v>
      </c>
      <c r="AD281" s="368">
        <v>0</v>
      </c>
      <c r="AE281" s="228"/>
      <c r="AF281" s="368">
        <v>0</v>
      </c>
    </row>
    <row r="282" spans="1:32" s="203" customFormat="1">
      <c r="A282" s="275" t="s">
        <v>218</v>
      </c>
      <c r="B282" s="284" t="s">
        <v>437</v>
      </c>
      <c r="C282" s="275">
        <v>162584</v>
      </c>
      <c r="D282" s="367">
        <v>4</v>
      </c>
      <c r="E282" s="225">
        <f t="shared" si="18"/>
        <v>122232</v>
      </c>
      <c r="F282" s="229">
        <f t="shared" si="19"/>
        <v>127379</v>
      </c>
      <c r="G282" s="226">
        <v>114418</v>
      </c>
      <c r="H282" s="368">
        <v>115693</v>
      </c>
      <c r="I282" s="226">
        <v>1370</v>
      </c>
      <c r="J282" s="368">
        <v>1918</v>
      </c>
      <c r="K282" s="228">
        <v>6396</v>
      </c>
      <c r="L282" s="228">
        <v>48</v>
      </c>
      <c r="M282" s="228"/>
      <c r="N282" s="368">
        <v>9579</v>
      </c>
      <c r="O282" s="368">
        <v>189</v>
      </c>
      <c r="P282" s="368">
        <v>0</v>
      </c>
      <c r="Q282" s="228"/>
      <c r="R282" s="368">
        <v>0</v>
      </c>
      <c r="S282" s="225">
        <f t="shared" si="20"/>
        <v>10912</v>
      </c>
      <c r="T282" s="229">
        <f t="shared" si="21"/>
        <v>10718</v>
      </c>
      <c r="U282" s="226">
        <v>5797</v>
      </c>
      <c r="V282" s="394">
        <v>4760</v>
      </c>
      <c r="W282" s="226">
        <v>2700</v>
      </c>
      <c r="X282" s="394">
        <v>2936</v>
      </c>
      <c r="Y282" s="228">
        <v>2142</v>
      </c>
      <c r="Z282" s="228">
        <v>273</v>
      </c>
      <c r="AA282" s="228"/>
      <c r="AB282" s="396">
        <v>2842</v>
      </c>
      <c r="AC282" s="396">
        <v>180</v>
      </c>
      <c r="AD282" s="396">
        <v>0</v>
      </c>
      <c r="AE282" s="228"/>
      <c r="AF282" s="397">
        <v>0</v>
      </c>
    </row>
    <row r="283" spans="1:32" s="203" customFormat="1">
      <c r="A283" s="275" t="s">
        <v>218</v>
      </c>
      <c r="B283" s="284" t="s">
        <v>439</v>
      </c>
      <c r="C283" s="275">
        <v>163851</v>
      </c>
      <c r="D283" s="367">
        <v>4</v>
      </c>
      <c r="E283" s="225">
        <f t="shared" si="18"/>
        <v>201405</v>
      </c>
      <c r="F283" s="229">
        <f t="shared" si="19"/>
        <v>213277</v>
      </c>
      <c r="G283" s="226">
        <v>193451</v>
      </c>
      <c r="H283" s="368">
        <v>202984</v>
      </c>
      <c r="I283" s="226">
        <v>385</v>
      </c>
      <c r="J283" s="368">
        <v>570</v>
      </c>
      <c r="K283" s="228">
        <v>7395</v>
      </c>
      <c r="L283" s="228">
        <v>174</v>
      </c>
      <c r="M283" s="228"/>
      <c r="N283" s="368">
        <v>9047</v>
      </c>
      <c r="O283" s="368">
        <v>676</v>
      </c>
      <c r="P283" s="368">
        <v>0</v>
      </c>
      <c r="Q283" s="228"/>
      <c r="R283" s="368">
        <v>0</v>
      </c>
      <c r="S283" s="225">
        <f t="shared" si="20"/>
        <v>9346</v>
      </c>
      <c r="T283" s="229">
        <f t="shared" si="21"/>
        <v>9649</v>
      </c>
      <c r="U283" s="226">
        <v>8318</v>
      </c>
      <c r="V283" s="394">
        <v>7879</v>
      </c>
      <c r="W283" s="226">
        <v>80</v>
      </c>
      <c r="X283" s="394">
        <v>159</v>
      </c>
      <c r="Y283" s="228">
        <v>711</v>
      </c>
      <c r="Z283" s="228">
        <v>237</v>
      </c>
      <c r="AA283" s="228"/>
      <c r="AB283" s="396">
        <v>1166</v>
      </c>
      <c r="AC283" s="396">
        <v>445</v>
      </c>
      <c r="AD283" s="396">
        <v>0</v>
      </c>
      <c r="AE283" s="228"/>
      <c r="AF283" s="397">
        <v>0</v>
      </c>
    </row>
    <row r="284" spans="1:32" s="203" customFormat="1">
      <c r="A284" s="275" t="s">
        <v>218</v>
      </c>
      <c r="B284" s="284" t="s">
        <v>440</v>
      </c>
      <c r="C284" s="275">
        <v>161873</v>
      </c>
      <c r="D284" s="367">
        <v>4</v>
      </c>
      <c r="E284" s="225">
        <f t="shared" si="18"/>
        <v>47433</v>
      </c>
      <c r="F284" s="229">
        <f t="shared" si="19"/>
        <v>54599</v>
      </c>
      <c r="G284" s="226">
        <v>40506</v>
      </c>
      <c r="H284" s="368">
        <v>45947</v>
      </c>
      <c r="I284" s="226">
        <v>483</v>
      </c>
      <c r="J284" s="368">
        <v>690</v>
      </c>
      <c r="K284" s="228">
        <v>6444</v>
      </c>
      <c r="L284" s="228"/>
      <c r="M284" s="228"/>
      <c r="N284" s="368">
        <v>7962</v>
      </c>
      <c r="O284" s="368">
        <v>0</v>
      </c>
      <c r="P284" s="368">
        <v>0</v>
      </c>
      <c r="Q284" s="228"/>
      <c r="R284" s="368">
        <v>0</v>
      </c>
      <c r="S284" s="225">
        <f t="shared" si="20"/>
        <v>54436</v>
      </c>
      <c r="T284" s="229">
        <f t="shared" si="21"/>
        <v>57345</v>
      </c>
      <c r="U284" s="226">
        <v>44431</v>
      </c>
      <c r="V284" s="394">
        <v>45918</v>
      </c>
      <c r="W284" s="226">
        <v>3393</v>
      </c>
      <c r="X284" s="394">
        <v>4140</v>
      </c>
      <c r="Y284" s="228">
        <v>6612</v>
      </c>
      <c r="Z284" s="228"/>
      <c r="AA284" s="228"/>
      <c r="AB284" s="396">
        <v>7287</v>
      </c>
      <c r="AC284" s="396">
        <v>0</v>
      </c>
      <c r="AD284" s="396">
        <v>0</v>
      </c>
      <c r="AE284" s="228"/>
      <c r="AF284" s="397">
        <v>0</v>
      </c>
    </row>
    <row r="285" spans="1:32" s="203" customFormat="1">
      <c r="A285" s="275" t="s">
        <v>218</v>
      </c>
      <c r="B285" s="284" t="s">
        <v>441</v>
      </c>
      <c r="C285" s="275">
        <v>163338</v>
      </c>
      <c r="D285" s="367">
        <v>4</v>
      </c>
      <c r="E285" s="225">
        <f t="shared" si="18"/>
        <v>101560</v>
      </c>
      <c r="F285" s="229">
        <f t="shared" si="19"/>
        <v>105414</v>
      </c>
      <c r="G285" s="226">
        <v>97295</v>
      </c>
      <c r="H285" s="368">
        <v>102181</v>
      </c>
      <c r="I285" s="226">
        <v>2255</v>
      </c>
      <c r="J285" s="368">
        <v>1504</v>
      </c>
      <c r="K285" s="228">
        <v>2010</v>
      </c>
      <c r="L285" s="228"/>
      <c r="M285" s="228"/>
      <c r="N285" s="368">
        <v>1729</v>
      </c>
      <c r="O285" s="368">
        <v>0</v>
      </c>
      <c r="P285" s="368">
        <v>0</v>
      </c>
      <c r="Q285" s="228"/>
      <c r="R285" s="368">
        <v>0</v>
      </c>
      <c r="S285" s="225">
        <f t="shared" si="20"/>
        <v>6565</v>
      </c>
      <c r="T285" s="229">
        <f t="shared" si="21"/>
        <v>7404</v>
      </c>
      <c r="U285" s="226">
        <v>5996</v>
      </c>
      <c r="V285" s="394">
        <v>7192</v>
      </c>
      <c r="W285" s="226">
        <v>366</v>
      </c>
      <c r="X285" s="394">
        <v>101</v>
      </c>
      <c r="Y285" s="228">
        <v>203</v>
      </c>
      <c r="Z285" s="228"/>
      <c r="AA285" s="228"/>
      <c r="AB285" s="396">
        <v>111</v>
      </c>
      <c r="AC285" s="396">
        <v>0</v>
      </c>
      <c r="AD285" s="396">
        <v>0</v>
      </c>
      <c r="AE285" s="228"/>
      <c r="AF285" s="397">
        <v>0</v>
      </c>
    </row>
    <row r="286" spans="1:32" s="203" customFormat="1">
      <c r="A286" s="275" t="s">
        <v>218</v>
      </c>
      <c r="B286" s="284" t="s">
        <v>442</v>
      </c>
      <c r="C286" s="275">
        <v>163912</v>
      </c>
      <c r="D286" s="367">
        <v>6</v>
      </c>
      <c r="E286" s="225">
        <f t="shared" si="18"/>
        <v>60301</v>
      </c>
      <c r="F286" s="229">
        <f t="shared" si="19"/>
        <v>61934</v>
      </c>
      <c r="G286" s="226">
        <v>59761</v>
      </c>
      <c r="H286" s="368">
        <v>61934</v>
      </c>
      <c r="I286" s="226">
        <v>540</v>
      </c>
      <c r="J286" s="368">
        <v>0</v>
      </c>
      <c r="K286" s="228"/>
      <c r="L286" s="228"/>
      <c r="M286" s="228"/>
      <c r="N286" s="368">
        <v>0</v>
      </c>
      <c r="O286" s="368">
        <v>0</v>
      </c>
      <c r="P286" s="368">
        <v>0</v>
      </c>
      <c r="Q286" s="228"/>
      <c r="R286" s="368">
        <v>0</v>
      </c>
      <c r="S286" s="225">
        <f t="shared" si="20"/>
        <v>624</v>
      </c>
      <c r="T286" s="229">
        <f t="shared" si="21"/>
        <v>1282</v>
      </c>
      <c r="U286" s="226">
        <v>624</v>
      </c>
      <c r="V286" s="394">
        <v>1282</v>
      </c>
      <c r="W286" s="226"/>
      <c r="X286" s="394">
        <v>0</v>
      </c>
      <c r="Y286" s="228"/>
      <c r="Z286" s="228"/>
      <c r="AA286" s="228"/>
      <c r="AB286" s="396">
        <v>0</v>
      </c>
      <c r="AC286" s="396">
        <v>0</v>
      </c>
      <c r="AD286" s="396">
        <v>0</v>
      </c>
      <c r="AE286" s="228"/>
      <c r="AF286" s="397">
        <v>0</v>
      </c>
    </row>
    <row r="287" spans="1:32" s="203" customFormat="1">
      <c r="A287" s="275" t="s">
        <v>218</v>
      </c>
      <c r="B287" s="284" t="s">
        <v>443</v>
      </c>
      <c r="C287" s="275">
        <v>161767</v>
      </c>
      <c r="D287" s="367">
        <v>8</v>
      </c>
      <c r="E287" s="225">
        <f t="shared" si="18"/>
        <v>267469</v>
      </c>
      <c r="F287" s="229">
        <f t="shared" si="19"/>
        <v>276100</v>
      </c>
      <c r="G287" s="226">
        <v>217131</v>
      </c>
      <c r="H287" s="368">
        <v>220849</v>
      </c>
      <c r="I287" s="226">
        <v>5099</v>
      </c>
      <c r="J287" s="368">
        <v>5203</v>
      </c>
      <c r="K287" s="228">
        <v>42982</v>
      </c>
      <c r="L287" s="228">
        <v>340</v>
      </c>
      <c r="M287" s="228">
        <v>1917</v>
      </c>
      <c r="N287" s="368">
        <v>47983</v>
      </c>
      <c r="O287" s="368">
        <v>301</v>
      </c>
      <c r="P287" s="368">
        <v>1764</v>
      </c>
      <c r="Q287" s="228"/>
      <c r="R287" s="368">
        <v>0</v>
      </c>
      <c r="S287" s="225">
        <f t="shared" si="20"/>
        <v>0</v>
      </c>
      <c r="T287" s="229">
        <f t="shared" si="21"/>
        <v>0</v>
      </c>
      <c r="U287" s="226"/>
      <c r="V287" s="201"/>
      <c r="W287" s="226"/>
      <c r="X287" s="201"/>
      <c r="Y287" s="228"/>
      <c r="Z287" s="228"/>
      <c r="AA287" s="228"/>
      <c r="AB287" s="202"/>
      <c r="AC287" s="202"/>
      <c r="AD287" s="202"/>
      <c r="AE287" s="228"/>
      <c r="AF287" s="240"/>
    </row>
    <row r="288" spans="1:32" s="203" customFormat="1">
      <c r="A288" s="275" t="s">
        <v>218</v>
      </c>
      <c r="B288" s="284" t="s">
        <v>444</v>
      </c>
      <c r="C288" s="275">
        <v>434672</v>
      </c>
      <c r="D288" s="367">
        <v>8</v>
      </c>
      <c r="E288" s="225">
        <f t="shared" si="18"/>
        <v>354783</v>
      </c>
      <c r="F288" s="229">
        <f t="shared" si="19"/>
        <v>370148.5</v>
      </c>
      <c r="G288" s="226">
        <v>291924</v>
      </c>
      <c r="H288" s="368">
        <v>304273</v>
      </c>
      <c r="I288" s="226">
        <v>31645</v>
      </c>
      <c r="J288" s="368">
        <v>30246.5</v>
      </c>
      <c r="K288" s="228">
        <v>30533</v>
      </c>
      <c r="L288" s="228">
        <v>681</v>
      </c>
      <c r="M288" s="228"/>
      <c r="N288" s="368">
        <v>35245</v>
      </c>
      <c r="O288" s="368">
        <v>384</v>
      </c>
      <c r="P288" s="368">
        <v>0</v>
      </c>
      <c r="Q288" s="228"/>
      <c r="R288" s="368">
        <v>0</v>
      </c>
      <c r="S288" s="225">
        <f t="shared" si="20"/>
        <v>0</v>
      </c>
      <c r="T288" s="229">
        <f t="shared" si="21"/>
        <v>0</v>
      </c>
      <c r="U288" s="226"/>
      <c r="V288" s="201"/>
      <c r="W288" s="226"/>
      <c r="X288" s="201"/>
      <c r="Y288" s="228"/>
      <c r="Z288" s="228"/>
      <c r="AA288" s="228"/>
      <c r="AB288" s="202"/>
      <c r="AC288" s="202"/>
      <c r="AD288" s="202"/>
      <c r="AE288" s="228"/>
      <c r="AF288" s="240"/>
    </row>
    <row r="289" spans="1:32" s="203" customFormat="1">
      <c r="A289" s="275" t="s">
        <v>218</v>
      </c>
      <c r="B289" s="284" t="s">
        <v>445</v>
      </c>
      <c r="C289" s="275">
        <v>163426</v>
      </c>
      <c r="D289" s="367">
        <v>8</v>
      </c>
      <c r="E289" s="225">
        <f t="shared" si="18"/>
        <v>463589</v>
      </c>
      <c r="F289" s="229">
        <f t="shared" si="19"/>
        <v>570269.69000000006</v>
      </c>
      <c r="G289" s="226">
        <v>435573</v>
      </c>
      <c r="H289" s="368">
        <v>476358.36</v>
      </c>
      <c r="I289" s="226">
        <v>3911</v>
      </c>
      <c r="J289" s="368">
        <v>65497.8</v>
      </c>
      <c r="K289" s="228">
        <v>24105</v>
      </c>
      <c r="L289" s="228"/>
      <c r="M289" s="228"/>
      <c r="N289" s="368">
        <v>28413.53</v>
      </c>
      <c r="O289" s="368">
        <v>0</v>
      </c>
      <c r="P289" s="368">
        <v>0</v>
      </c>
      <c r="Q289" s="228"/>
      <c r="R289" s="368">
        <v>0</v>
      </c>
      <c r="S289" s="225">
        <f t="shared" si="20"/>
        <v>0</v>
      </c>
      <c r="T289" s="229">
        <f t="shared" si="21"/>
        <v>0</v>
      </c>
      <c r="U289" s="226"/>
      <c r="V289" s="201"/>
      <c r="W289" s="226"/>
      <c r="X289" s="201"/>
      <c r="Y289" s="228"/>
      <c r="Z289" s="228"/>
      <c r="AA289" s="228"/>
      <c r="AB289" s="202"/>
      <c r="AC289" s="202"/>
      <c r="AD289" s="202"/>
      <c r="AE289" s="228"/>
      <c r="AF289" s="240"/>
    </row>
    <row r="290" spans="1:32" s="203" customFormat="1">
      <c r="A290" s="275" t="s">
        <v>218</v>
      </c>
      <c r="B290" s="284" t="s">
        <v>446</v>
      </c>
      <c r="C290" s="275">
        <v>163657</v>
      </c>
      <c r="D290" s="367">
        <v>8</v>
      </c>
      <c r="E290" s="225">
        <f t="shared" si="18"/>
        <v>210473</v>
      </c>
      <c r="F290" s="229">
        <f t="shared" si="19"/>
        <v>211482</v>
      </c>
      <c r="G290" s="226">
        <v>159261</v>
      </c>
      <c r="H290" s="368">
        <v>156047</v>
      </c>
      <c r="I290" s="226">
        <v>28345</v>
      </c>
      <c r="J290" s="368">
        <v>28567</v>
      </c>
      <c r="K290" s="228">
        <v>22867</v>
      </c>
      <c r="L290" s="228"/>
      <c r="M290" s="228"/>
      <c r="N290" s="368">
        <v>26868</v>
      </c>
      <c r="O290" s="368">
        <v>0</v>
      </c>
      <c r="P290" s="368">
        <v>0</v>
      </c>
      <c r="Q290" s="228"/>
      <c r="R290" s="368">
        <v>0</v>
      </c>
      <c r="S290" s="225">
        <f t="shared" si="20"/>
        <v>0</v>
      </c>
      <c r="T290" s="229">
        <f t="shared" si="21"/>
        <v>0</v>
      </c>
      <c r="U290" s="226"/>
      <c r="V290" s="201"/>
      <c r="W290" s="226"/>
      <c r="X290" s="201"/>
      <c r="Y290" s="228"/>
      <c r="Z290" s="228"/>
      <c r="AA290" s="228"/>
      <c r="AB290" s="202"/>
      <c r="AC290" s="202"/>
      <c r="AD290" s="202"/>
      <c r="AE290" s="228"/>
      <c r="AF290" s="240"/>
    </row>
    <row r="291" spans="1:32" s="203" customFormat="1">
      <c r="A291" s="275" t="s">
        <v>218</v>
      </c>
      <c r="B291" s="284" t="s">
        <v>447</v>
      </c>
      <c r="C291" s="370">
        <v>161688</v>
      </c>
      <c r="D291" s="371">
        <v>9</v>
      </c>
      <c r="E291" s="225">
        <f t="shared" si="18"/>
        <v>68936</v>
      </c>
      <c r="F291" s="229">
        <f t="shared" si="19"/>
        <v>74103</v>
      </c>
      <c r="G291" s="226">
        <v>48090</v>
      </c>
      <c r="H291" s="368">
        <v>49660</v>
      </c>
      <c r="I291" s="226">
        <v>15342</v>
      </c>
      <c r="J291" s="368">
        <v>16299</v>
      </c>
      <c r="K291" s="228">
        <v>3255</v>
      </c>
      <c r="L291" s="228">
        <v>1523</v>
      </c>
      <c r="M291" s="228">
        <v>726</v>
      </c>
      <c r="N291" s="368">
        <v>6193</v>
      </c>
      <c r="O291" s="368">
        <v>1534</v>
      </c>
      <c r="P291" s="368">
        <v>417</v>
      </c>
      <c r="Q291" s="228"/>
      <c r="R291" s="368">
        <v>0</v>
      </c>
      <c r="S291" s="225">
        <f t="shared" si="20"/>
        <v>0</v>
      </c>
      <c r="T291" s="229">
        <f t="shared" si="21"/>
        <v>0</v>
      </c>
      <c r="U291" s="226"/>
      <c r="V291" s="201"/>
      <c r="W291" s="226"/>
      <c r="X291" s="201"/>
      <c r="Y291" s="228"/>
      <c r="Z291" s="228"/>
      <c r="AA291" s="228"/>
      <c r="AB291" s="202"/>
      <c r="AC291" s="202"/>
      <c r="AD291" s="202"/>
      <c r="AE291" s="228"/>
      <c r="AF291" s="240"/>
    </row>
    <row r="292" spans="1:32" s="203" customFormat="1">
      <c r="A292" s="275" t="s">
        <v>218</v>
      </c>
      <c r="B292" s="284" t="s">
        <v>448</v>
      </c>
      <c r="C292" s="275">
        <v>161864</v>
      </c>
      <c r="D292" s="367">
        <v>9</v>
      </c>
      <c r="E292" s="225">
        <f t="shared" si="18"/>
        <v>138997</v>
      </c>
      <c r="F292" s="229">
        <f t="shared" si="19"/>
        <v>222666</v>
      </c>
      <c r="G292" s="226">
        <v>111920</v>
      </c>
      <c r="H292" s="368">
        <v>142783</v>
      </c>
      <c r="I292" s="226">
        <v>9401</v>
      </c>
      <c r="J292" s="368">
        <v>47707</v>
      </c>
      <c r="K292" s="228">
        <v>17676</v>
      </c>
      <c r="L292" s="228"/>
      <c r="M292" s="228"/>
      <c r="N292" s="368">
        <v>32176</v>
      </c>
      <c r="O292" s="368">
        <v>0</v>
      </c>
      <c r="P292" s="368">
        <v>0</v>
      </c>
      <c r="Q292" s="228"/>
      <c r="R292" s="368">
        <v>0</v>
      </c>
      <c r="S292" s="225">
        <f t="shared" si="20"/>
        <v>0</v>
      </c>
      <c r="T292" s="229">
        <f t="shared" si="21"/>
        <v>0</v>
      </c>
      <c r="U292" s="226"/>
      <c r="V292" s="201"/>
      <c r="W292" s="226"/>
      <c r="X292" s="201"/>
      <c r="Y292" s="228"/>
      <c r="Z292" s="228"/>
      <c r="AA292" s="228"/>
      <c r="AB292" s="202"/>
      <c r="AC292" s="202"/>
      <c r="AD292" s="202"/>
      <c r="AE292" s="228"/>
      <c r="AF292" s="240"/>
    </row>
    <row r="293" spans="1:32" s="203" customFormat="1">
      <c r="A293" s="275" t="s">
        <v>218</v>
      </c>
      <c r="B293" s="284" t="s">
        <v>449</v>
      </c>
      <c r="C293" s="275">
        <v>162122</v>
      </c>
      <c r="D293" s="367">
        <v>9</v>
      </c>
      <c r="E293" s="225">
        <f t="shared" si="18"/>
        <v>135205</v>
      </c>
      <c r="F293" s="229">
        <f t="shared" si="19"/>
        <v>142423</v>
      </c>
      <c r="G293" s="226">
        <v>106123</v>
      </c>
      <c r="H293" s="368">
        <v>108221</v>
      </c>
      <c r="I293" s="226">
        <v>2337</v>
      </c>
      <c r="J293" s="368">
        <v>2288</v>
      </c>
      <c r="K293" s="228">
        <v>22503</v>
      </c>
      <c r="L293" s="228">
        <v>1606</v>
      </c>
      <c r="M293" s="228">
        <v>2636</v>
      </c>
      <c r="N293" s="368">
        <v>28289</v>
      </c>
      <c r="O293" s="368">
        <v>1091</v>
      </c>
      <c r="P293" s="368">
        <v>2534</v>
      </c>
      <c r="Q293" s="228"/>
      <c r="R293" s="368">
        <v>0</v>
      </c>
      <c r="S293" s="225">
        <f t="shared" si="20"/>
        <v>0</v>
      </c>
      <c r="T293" s="229">
        <f t="shared" si="21"/>
        <v>0</v>
      </c>
      <c r="U293" s="226"/>
      <c r="V293" s="201"/>
      <c r="W293" s="226"/>
      <c r="X293" s="201"/>
      <c r="Y293" s="228"/>
      <c r="Z293" s="228"/>
      <c r="AA293" s="228"/>
      <c r="AB293" s="202"/>
      <c r="AC293" s="202"/>
      <c r="AD293" s="202"/>
      <c r="AE293" s="228"/>
      <c r="AF293" s="240"/>
    </row>
    <row r="294" spans="1:32" s="203" customFormat="1">
      <c r="A294" s="275" t="s">
        <v>218</v>
      </c>
      <c r="B294" s="284" t="s">
        <v>450</v>
      </c>
      <c r="C294" s="275">
        <v>162557</v>
      </c>
      <c r="D294" s="367">
        <v>9</v>
      </c>
      <c r="E294" s="225">
        <f t="shared" si="18"/>
        <v>102169</v>
      </c>
      <c r="F294" s="229">
        <f t="shared" si="19"/>
        <v>101603</v>
      </c>
      <c r="G294" s="226">
        <v>88454</v>
      </c>
      <c r="H294" s="368">
        <v>84864</v>
      </c>
      <c r="I294" s="226">
        <v>2015</v>
      </c>
      <c r="J294" s="368">
        <v>3500</v>
      </c>
      <c r="K294" s="228">
        <v>11700</v>
      </c>
      <c r="L294" s="228"/>
      <c r="M294" s="228"/>
      <c r="N294" s="368">
        <v>13239</v>
      </c>
      <c r="O294" s="368">
        <v>0</v>
      </c>
      <c r="P294" s="368">
        <v>0</v>
      </c>
      <c r="Q294" s="228"/>
      <c r="R294" s="368">
        <v>0</v>
      </c>
      <c r="S294" s="225">
        <f t="shared" si="20"/>
        <v>0</v>
      </c>
      <c r="T294" s="229">
        <f t="shared" si="21"/>
        <v>0</v>
      </c>
      <c r="U294" s="226"/>
      <c r="V294" s="201"/>
      <c r="W294" s="226"/>
      <c r="X294" s="201"/>
      <c r="Y294" s="228"/>
      <c r="Z294" s="228"/>
      <c r="AA294" s="228"/>
      <c r="AB294" s="202"/>
      <c r="AC294" s="202"/>
      <c r="AD294" s="202"/>
      <c r="AE294" s="228"/>
      <c r="AF294" s="240"/>
    </row>
    <row r="295" spans="1:32" s="203" customFormat="1">
      <c r="A295" s="275" t="s">
        <v>218</v>
      </c>
      <c r="B295" s="284" t="s">
        <v>451</v>
      </c>
      <c r="C295" s="370">
        <v>162690</v>
      </c>
      <c r="D295" s="371">
        <v>9</v>
      </c>
      <c r="E295" s="225">
        <f t="shared" si="18"/>
        <v>69936</v>
      </c>
      <c r="F295" s="229">
        <f t="shared" si="19"/>
        <v>75137</v>
      </c>
      <c r="G295" s="226">
        <v>58990</v>
      </c>
      <c r="H295" s="368">
        <v>60978</v>
      </c>
      <c r="I295" s="226">
        <v>5425</v>
      </c>
      <c r="J295" s="368">
        <v>6375</v>
      </c>
      <c r="K295" s="228">
        <v>5128</v>
      </c>
      <c r="L295" s="228">
        <v>21</v>
      </c>
      <c r="M295" s="228">
        <v>315</v>
      </c>
      <c r="N295" s="368">
        <v>7331</v>
      </c>
      <c r="O295" s="368">
        <v>0</v>
      </c>
      <c r="P295" s="368">
        <v>312</v>
      </c>
      <c r="Q295" s="228">
        <v>57</v>
      </c>
      <c r="R295" s="368">
        <v>141</v>
      </c>
      <c r="S295" s="225">
        <f t="shared" si="20"/>
        <v>0</v>
      </c>
      <c r="T295" s="229">
        <f t="shared" si="21"/>
        <v>0</v>
      </c>
      <c r="U295" s="226"/>
      <c r="V295" s="201"/>
      <c r="W295" s="226"/>
      <c r="X295" s="201"/>
      <c r="Y295" s="228"/>
      <c r="Z295" s="228"/>
      <c r="AA295" s="228"/>
      <c r="AB295" s="202"/>
      <c r="AC295" s="202"/>
      <c r="AD295" s="202"/>
      <c r="AE295" s="228"/>
      <c r="AF295" s="240"/>
    </row>
    <row r="296" spans="1:32" s="203" customFormat="1">
      <c r="A296" s="275" t="s">
        <v>218</v>
      </c>
      <c r="B296" s="284" t="s">
        <v>452</v>
      </c>
      <c r="C296" s="275">
        <v>162706</v>
      </c>
      <c r="D296" s="367">
        <v>9</v>
      </c>
      <c r="E296" s="225">
        <f t="shared" si="18"/>
        <v>106478</v>
      </c>
      <c r="F296" s="229">
        <f t="shared" si="19"/>
        <v>111572</v>
      </c>
      <c r="G296" s="226">
        <v>92565</v>
      </c>
      <c r="H296" s="368">
        <v>96952</v>
      </c>
      <c r="I296" s="226">
        <v>1115</v>
      </c>
      <c r="J296" s="368">
        <v>1154</v>
      </c>
      <c r="K296" s="228">
        <v>12798</v>
      </c>
      <c r="L296" s="228"/>
      <c r="M296" s="228"/>
      <c r="N296" s="368">
        <v>13466</v>
      </c>
      <c r="O296" s="368">
        <v>0</v>
      </c>
      <c r="P296" s="368">
        <v>0</v>
      </c>
      <c r="Q296" s="228"/>
      <c r="R296" s="368">
        <v>0</v>
      </c>
      <c r="S296" s="225">
        <f t="shared" si="20"/>
        <v>0</v>
      </c>
      <c r="T296" s="229">
        <f t="shared" si="21"/>
        <v>0</v>
      </c>
      <c r="U296" s="226"/>
      <c r="V296" s="201"/>
      <c r="W296" s="226"/>
      <c r="X296" s="201"/>
      <c r="Y296" s="228"/>
      <c r="Z296" s="228"/>
      <c r="AA296" s="228"/>
      <c r="AB296" s="202"/>
      <c r="AC296" s="202"/>
      <c r="AD296" s="202"/>
      <c r="AE296" s="228"/>
      <c r="AF296" s="240"/>
    </row>
    <row r="297" spans="1:32" s="203" customFormat="1">
      <c r="A297" s="275" t="s">
        <v>218</v>
      </c>
      <c r="B297" s="284" t="s">
        <v>453</v>
      </c>
      <c r="C297" s="275">
        <v>162779</v>
      </c>
      <c r="D297" s="367">
        <v>9</v>
      </c>
      <c r="E297" s="225">
        <f t="shared" si="18"/>
        <v>139278</v>
      </c>
      <c r="F297" s="229">
        <f t="shared" si="19"/>
        <v>146974</v>
      </c>
      <c r="G297" s="226">
        <v>124343</v>
      </c>
      <c r="H297" s="368">
        <v>131343</v>
      </c>
      <c r="I297" s="226">
        <v>5350</v>
      </c>
      <c r="J297" s="368">
        <v>5421</v>
      </c>
      <c r="K297" s="228">
        <v>9036</v>
      </c>
      <c r="L297" s="228"/>
      <c r="M297" s="228">
        <v>549</v>
      </c>
      <c r="N297" s="368">
        <v>9700</v>
      </c>
      <c r="O297" s="368">
        <v>0</v>
      </c>
      <c r="P297" s="368">
        <v>510</v>
      </c>
      <c r="Q297" s="228"/>
      <c r="R297" s="368">
        <v>0</v>
      </c>
      <c r="S297" s="225">
        <f t="shared" si="20"/>
        <v>0</v>
      </c>
      <c r="T297" s="229">
        <f t="shared" si="21"/>
        <v>0</v>
      </c>
      <c r="U297" s="226"/>
      <c r="V297" s="201"/>
      <c r="W297" s="226"/>
      <c r="X297" s="201"/>
      <c r="Y297" s="228"/>
      <c r="Z297" s="228"/>
      <c r="AA297" s="228"/>
      <c r="AB297" s="202"/>
      <c r="AC297" s="202"/>
      <c r="AD297" s="202"/>
      <c r="AE297" s="228"/>
      <c r="AF297" s="240"/>
    </row>
    <row r="298" spans="1:32" s="203" customFormat="1">
      <c r="A298" s="275" t="s">
        <v>218</v>
      </c>
      <c r="B298" s="277" t="s">
        <v>454</v>
      </c>
      <c r="C298" s="275">
        <v>405872</v>
      </c>
      <c r="D298" s="367">
        <v>10</v>
      </c>
      <c r="E298" s="225">
        <f t="shared" si="18"/>
        <v>57335</v>
      </c>
      <c r="F298" s="229">
        <f t="shared" si="19"/>
        <v>60742</v>
      </c>
      <c r="G298" s="226">
        <v>51202</v>
      </c>
      <c r="H298" s="368">
        <v>53999</v>
      </c>
      <c r="I298" s="226">
        <v>389</v>
      </c>
      <c r="J298" s="368">
        <v>123</v>
      </c>
      <c r="K298" s="228">
        <v>5669</v>
      </c>
      <c r="L298" s="228">
        <v>75</v>
      </c>
      <c r="M298" s="228"/>
      <c r="N298" s="368">
        <v>6509</v>
      </c>
      <c r="O298" s="368">
        <v>111</v>
      </c>
      <c r="P298" s="368">
        <v>0</v>
      </c>
      <c r="Q298" s="228"/>
      <c r="R298" s="368">
        <v>0</v>
      </c>
      <c r="S298" s="225">
        <f t="shared" si="20"/>
        <v>0</v>
      </c>
      <c r="T298" s="229">
        <f t="shared" si="21"/>
        <v>0</v>
      </c>
      <c r="U298" s="226"/>
      <c r="V298" s="201"/>
      <c r="W298" s="226"/>
      <c r="X298" s="201"/>
      <c r="Y298" s="228"/>
      <c r="Z298" s="228"/>
      <c r="AA298" s="228"/>
      <c r="AB298" s="202"/>
      <c r="AC298" s="202"/>
      <c r="AD298" s="202"/>
      <c r="AE298" s="228"/>
      <c r="AF298" s="240"/>
    </row>
    <row r="299" spans="1:32" s="203" customFormat="1">
      <c r="A299" s="275" t="s">
        <v>218</v>
      </c>
      <c r="B299" s="284" t="s">
        <v>455</v>
      </c>
      <c r="C299" s="275">
        <v>162104</v>
      </c>
      <c r="D299" s="367">
        <v>10</v>
      </c>
      <c r="E299" s="225">
        <f t="shared" si="18"/>
        <v>39281.5</v>
      </c>
      <c r="F299" s="229">
        <f t="shared" si="19"/>
        <v>42571.5</v>
      </c>
      <c r="G299" s="226">
        <v>35768.5</v>
      </c>
      <c r="H299" s="394">
        <v>36802.5</v>
      </c>
      <c r="I299" s="226">
        <v>888</v>
      </c>
      <c r="J299" s="394">
        <v>1053</v>
      </c>
      <c r="K299" s="228">
        <v>2625</v>
      </c>
      <c r="L299" s="228"/>
      <c r="M299" s="228"/>
      <c r="N299" s="396">
        <v>4716</v>
      </c>
      <c r="O299" s="396">
        <v>0</v>
      </c>
      <c r="P299" s="396">
        <v>0</v>
      </c>
      <c r="Q299" s="228"/>
      <c r="R299" s="394">
        <v>0</v>
      </c>
      <c r="S299" s="225">
        <f t="shared" si="20"/>
        <v>0</v>
      </c>
      <c r="T299" s="229">
        <f t="shared" si="21"/>
        <v>0</v>
      </c>
      <c r="U299" s="226"/>
      <c r="V299" s="201"/>
      <c r="W299" s="226"/>
      <c r="X299" s="201"/>
      <c r="Y299" s="228"/>
      <c r="Z299" s="228"/>
      <c r="AA299" s="228"/>
      <c r="AB299" s="202"/>
      <c r="AC299" s="202"/>
      <c r="AD299" s="202"/>
      <c r="AE299" s="228"/>
      <c r="AF299" s="240"/>
    </row>
    <row r="300" spans="1:32" s="203" customFormat="1">
      <c r="A300" s="275" t="s">
        <v>218</v>
      </c>
      <c r="B300" s="284" t="s">
        <v>456</v>
      </c>
      <c r="C300" s="275">
        <v>162168</v>
      </c>
      <c r="D300" s="367">
        <v>10</v>
      </c>
      <c r="E300" s="225">
        <f t="shared" si="18"/>
        <v>44265</v>
      </c>
      <c r="F300" s="229">
        <f t="shared" si="19"/>
        <v>45201</v>
      </c>
      <c r="G300" s="226">
        <v>27763</v>
      </c>
      <c r="H300" s="394">
        <v>30335</v>
      </c>
      <c r="I300" s="226">
        <v>8083</v>
      </c>
      <c r="J300" s="394">
        <v>9006</v>
      </c>
      <c r="K300" s="228">
        <v>5621</v>
      </c>
      <c r="L300" s="228">
        <v>2750</v>
      </c>
      <c r="M300" s="228"/>
      <c r="N300" s="396">
        <v>4859</v>
      </c>
      <c r="O300" s="396">
        <v>984</v>
      </c>
      <c r="P300" s="396">
        <v>0</v>
      </c>
      <c r="Q300" s="228">
        <v>48</v>
      </c>
      <c r="R300" s="394">
        <v>17</v>
      </c>
      <c r="S300" s="225">
        <f t="shared" si="20"/>
        <v>0</v>
      </c>
      <c r="T300" s="229">
        <f t="shared" si="21"/>
        <v>0</v>
      </c>
      <c r="U300" s="226"/>
      <c r="V300" s="201"/>
      <c r="W300" s="226"/>
      <c r="X300" s="201"/>
      <c r="Y300" s="228"/>
      <c r="Z300" s="228"/>
      <c r="AA300" s="228"/>
      <c r="AB300" s="202"/>
      <c r="AC300" s="202"/>
      <c r="AD300" s="202"/>
      <c r="AE300" s="228"/>
      <c r="AF300" s="240"/>
    </row>
    <row r="301" spans="1:32" s="203" customFormat="1">
      <c r="A301" s="275" t="s">
        <v>218</v>
      </c>
      <c r="B301" s="284" t="s">
        <v>457</v>
      </c>
      <c r="C301" s="275">
        <v>162609</v>
      </c>
      <c r="D301" s="367">
        <v>10</v>
      </c>
      <c r="E301" s="225">
        <f t="shared" si="18"/>
        <v>68936</v>
      </c>
      <c r="F301" s="229">
        <f t="shared" si="19"/>
        <v>18753.5</v>
      </c>
      <c r="G301" s="226">
        <v>48090</v>
      </c>
      <c r="H301" s="394">
        <v>15275.5</v>
      </c>
      <c r="I301" s="226">
        <v>15342</v>
      </c>
      <c r="J301" s="394">
        <v>1310</v>
      </c>
      <c r="K301" s="228">
        <v>3255</v>
      </c>
      <c r="L301" s="228">
        <v>1523</v>
      </c>
      <c r="M301" s="228">
        <v>726</v>
      </c>
      <c r="N301" s="396">
        <v>1774</v>
      </c>
      <c r="O301" s="396">
        <v>394</v>
      </c>
      <c r="P301" s="396">
        <v>0</v>
      </c>
      <c r="Q301" s="228"/>
      <c r="R301" s="394">
        <v>0</v>
      </c>
      <c r="S301" s="225">
        <f t="shared" si="20"/>
        <v>0</v>
      </c>
      <c r="T301" s="229">
        <f t="shared" si="21"/>
        <v>0</v>
      </c>
      <c r="U301" s="226"/>
      <c r="V301" s="201"/>
      <c r="W301" s="226"/>
      <c r="X301" s="201"/>
      <c r="Y301" s="228"/>
      <c r="Z301" s="228"/>
      <c r="AA301" s="228"/>
      <c r="AB301" s="202"/>
      <c r="AC301" s="202"/>
      <c r="AD301" s="202"/>
      <c r="AE301" s="228"/>
      <c r="AF301" s="240"/>
    </row>
    <row r="302" spans="1:32" s="203" customFormat="1">
      <c r="A302" s="275" t="s">
        <v>218</v>
      </c>
      <c r="B302" s="277" t="s">
        <v>458</v>
      </c>
      <c r="C302" s="275">
        <v>164313</v>
      </c>
      <c r="D302" s="367">
        <v>10</v>
      </c>
      <c r="E302" s="225">
        <f t="shared" si="18"/>
        <v>59470</v>
      </c>
      <c r="F302" s="229">
        <f t="shared" si="19"/>
        <v>65989</v>
      </c>
      <c r="G302" s="226">
        <v>54222</v>
      </c>
      <c r="H302" s="394">
        <v>58262</v>
      </c>
      <c r="I302" s="226">
        <v>361</v>
      </c>
      <c r="J302" s="394">
        <v>975</v>
      </c>
      <c r="K302" s="228">
        <v>4257</v>
      </c>
      <c r="L302" s="228">
        <v>42</v>
      </c>
      <c r="M302" s="228">
        <v>588</v>
      </c>
      <c r="N302" s="396">
        <v>6353</v>
      </c>
      <c r="O302" s="396">
        <v>93</v>
      </c>
      <c r="P302" s="396">
        <v>306</v>
      </c>
      <c r="Q302" s="228"/>
      <c r="R302" s="394">
        <v>0</v>
      </c>
      <c r="S302" s="225">
        <f t="shared" si="20"/>
        <v>0</v>
      </c>
      <c r="T302" s="229">
        <f t="shared" si="21"/>
        <v>0</v>
      </c>
      <c r="U302" s="226"/>
      <c r="V302" s="201"/>
      <c r="W302" s="226"/>
      <c r="X302" s="201"/>
      <c r="Y302" s="228"/>
      <c r="Z302" s="228"/>
      <c r="AA302" s="228"/>
      <c r="AB302" s="202"/>
      <c r="AC302" s="202"/>
      <c r="AD302" s="202"/>
      <c r="AE302" s="228"/>
      <c r="AF302" s="240"/>
    </row>
    <row r="303" spans="1:32" s="203" customFormat="1">
      <c r="A303" s="275" t="s">
        <v>218</v>
      </c>
      <c r="B303" s="284" t="s">
        <v>459</v>
      </c>
      <c r="C303" s="275">
        <v>163204</v>
      </c>
      <c r="D303" s="367">
        <v>15</v>
      </c>
      <c r="E303" s="225">
        <f t="shared" si="18"/>
        <v>361100</v>
      </c>
      <c r="F303" s="229">
        <f t="shared" si="19"/>
        <v>351195</v>
      </c>
      <c r="G303" s="226"/>
      <c r="H303" s="394">
        <v>0</v>
      </c>
      <c r="I303" s="226">
        <v>67891</v>
      </c>
      <c r="J303" s="394">
        <v>57945</v>
      </c>
      <c r="K303" s="228">
        <v>293209</v>
      </c>
      <c r="L303" s="228"/>
      <c r="M303" s="228"/>
      <c r="N303" s="396">
        <v>293250</v>
      </c>
      <c r="O303" s="396">
        <v>0</v>
      </c>
      <c r="P303" s="396">
        <v>0</v>
      </c>
      <c r="Q303" s="228"/>
      <c r="R303" s="394">
        <v>0</v>
      </c>
      <c r="S303" s="225">
        <f t="shared" si="20"/>
        <v>121682</v>
      </c>
      <c r="T303" s="229">
        <f t="shared" si="21"/>
        <v>109857</v>
      </c>
      <c r="U303" s="226"/>
      <c r="V303" s="201"/>
      <c r="W303" s="226">
        <v>11717</v>
      </c>
      <c r="X303" s="519">
        <v>6549</v>
      </c>
      <c r="Y303" s="228">
        <v>109965</v>
      </c>
      <c r="Z303" s="228"/>
      <c r="AA303" s="228"/>
      <c r="AB303" s="520">
        <v>103308</v>
      </c>
      <c r="AC303" s="202"/>
      <c r="AD303" s="202"/>
      <c r="AE303" s="228"/>
      <c r="AF303" s="240"/>
    </row>
    <row r="304" spans="1:32" s="203" customFormat="1">
      <c r="A304" s="491" t="s">
        <v>200</v>
      </c>
      <c r="B304" s="492" t="s">
        <v>879</v>
      </c>
      <c r="C304" s="491">
        <v>176080</v>
      </c>
      <c r="D304" s="493">
        <v>1</v>
      </c>
      <c r="E304" s="225">
        <f t="shared" si="18"/>
        <v>359401</v>
      </c>
      <c r="F304" s="229">
        <f t="shared" si="19"/>
        <v>375736</v>
      </c>
      <c r="G304" s="387">
        <v>327691</v>
      </c>
      <c r="H304" s="201">
        <v>345219</v>
      </c>
      <c r="I304" s="387">
        <v>13441</v>
      </c>
      <c r="J304" s="201">
        <v>13554</v>
      </c>
      <c r="K304" s="389">
        <v>12428</v>
      </c>
      <c r="L304" s="389">
        <v>600</v>
      </c>
      <c r="M304" s="389">
        <v>2706</v>
      </c>
      <c r="N304" s="202">
        <v>12989</v>
      </c>
      <c r="O304" s="202">
        <v>525</v>
      </c>
      <c r="P304" s="202">
        <v>1100</v>
      </c>
      <c r="Q304" s="389">
        <v>2535</v>
      </c>
      <c r="R304" s="201">
        <v>2349</v>
      </c>
      <c r="S304" s="225">
        <f t="shared" si="20"/>
        <v>58988</v>
      </c>
      <c r="T304" s="229">
        <f t="shared" si="21"/>
        <v>58559</v>
      </c>
      <c r="U304" s="387">
        <v>45479</v>
      </c>
      <c r="V304" s="201">
        <v>44571</v>
      </c>
      <c r="W304" s="387">
        <v>3395</v>
      </c>
      <c r="X304" s="201">
        <v>3513</v>
      </c>
      <c r="Y304" s="389">
        <v>9966</v>
      </c>
      <c r="Z304" s="389">
        <v>112</v>
      </c>
      <c r="AA304" s="389">
        <v>21</v>
      </c>
      <c r="AB304" s="202">
        <v>10275</v>
      </c>
      <c r="AC304" s="202">
        <v>158</v>
      </c>
      <c r="AD304" s="202">
        <v>39</v>
      </c>
      <c r="AE304" s="389">
        <v>15</v>
      </c>
      <c r="AF304" s="240">
        <v>3</v>
      </c>
    </row>
    <row r="305" spans="1:32" s="203" customFormat="1">
      <c r="A305" s="491" t="s">
        <v>200</v>
      </c>
      <c r="B305" s="492" t="s">
        <v>880</v>
      </c>
      <c r="C305" s="491">
        <v>176372</v>
      </c>
      <c r="D305" s="496">
        <v>1</v>
      </c>
      <c r="E305" s="225">
        <f t="shared" si="18"/>
        <v>318142</v>
      </c>
      <c r="F305" s="229">
        <f t="shared" si="19"/>
        <v>320459</v>
      </c>
      <c r="G305" s="387">
        <v>258962</v>
      </c>
      <c r="H305" s="201">
        <v>256306</v>
      </c>
      <c r="I305" s="387">
        <v>35501</v>
      </c>
      <c r="J305" s="201">
        <v>36504</v>
      </c>
      <c r="K305" s="389">
        <v>19936</v>
      </c>
      <c r="L305" s="389">
        <v>443</v>
      </c>
      <c r="M305" s="389">
        <v>3300</v>
      </c>
      <c r="N305" s="202">
        <v>24529</v>
      </c>
      <c r="O305" s="202">
        <v>549</v>
      </c>
      <c r="P305" s="202">
        <v>2571</v>
      </c>
      <c r="Q305" s="389">
        <v>0</v>
      </c>
      <c r="R305" s="201"/>
      <c r="S305" s="225">
        <f t="shared" si="20"/>
        <v>56867</v>
      </c>
      <c r="T305" s="229">
        <f t="shared" si="21"/>
        <v>58389</v>
      </c>
      <c r="U305" s="387">
        <v>41674</v>
      </c>
      <c r="V305" s="201">
        <v>40195</v>
      </c>
      <c r="W305" s="387">
        <v>7730</v>
      </c>
      <c r="X305" s="201">
        <v>7925</v>
      </c>
      <c r="Y305" s="389">
        <v>6914</v>
      </c>
      <c r="Z305" s="389">
        <v>549</v>
      </c>
      <c r="AA305" s="389"/>
      <c r="AB305" s="202">
        <v>9487</v>
      </c>
      <c r="AC305" s="202">
        <v>782</v>
      </c>
      <c r="AD305" s="202" t="s">
        <v>196</v>
      </c>
      <c r="AE305" s="389">
        <v>0</v>
      </c>
      <c r="AF305" s="240"/>
    </row>
    <row r="306" spans="1:32" s="203" customFormat="1">
      <c r="A306" s="491" t="s">
        <v>200</v>
      </c>
      <c r="B306" s="492" t="s">
        <v>881</v>
      </c>
      <c r="C306" s="491">
        <v>175856</v>
      </c>
      <c r="D306" s="496">
        <v>2</v>
      </c>
      <c r="E306" s="225">
        <f t="shared" si="18"/>
        <v>167214</v>
      </c>
      <c r="F306" s="229">
        <f t="shared" si="19"/>
        <v>156429</v>
      </c>
      <c r="G306" s="387">
        <v>157054</v>
      </c>
      <c r="H306" s="201">
        <v>146626</v>
      </c>
      <c r="I306" s="387">
        <v>7005</v>
      </c>
      <c r="J306" s="201">
        <v>6186</v>
      </c>
      <c r="K306" s="389">
        <v>3155</v>
      </c>
      <c r="L306" s="389"/>
      <c r="M306" s="389"/>
      <c r="N306" s="202">
        <v>3617</v>
      </c>
      <c r="O306" s="202"/>
      <c r="P306" s="202"/>
      <c r="Q306" s="389"/>
      <c r="R306" s="201"/>
      <c r="S306" s="225">
        <f t="shared" si="20"/>
        <v>29394</v>
      </c>
      <c r="T306" s="229">
        <f t="shared" si="21"/>
        <v>28022</v>
      </c>
      <c r="U306" s="387">
        <v>22533</v>
      </c>
      <c r="V306" s="201">
        <v>20929</v>
      </c>
      <c r="W306" s="387">
        <v>5409</v>
      </c>
      <c r="X306" s="201">
        <v>5326</v>
      </c>
      <c r="Y306" s="389">
        <v>1452</v>
      </c>
      <c r="Z306" s="389"/>
      <c r="AA306" s="389"/>
      <c r="AB306" s="202">
        <v>1767</v>
      </c>
      <c r="AC306" s="202"/>
      <c r="AD306" s="202"/>
      <c r="AE306" s="389"/>
      <c r="AF306" s="240"/>
    </row>
    <row r="307" spans="1:32" s="203" customFormat="1">
      <c r="A307" s="491" t="s">
        <v>200</v>
      </c>
      <c r="B307" s="492" t="s">
        <v>882</v>
      </c>
      <c r="C307" s="491">
        <v>176017</v>
      </c>
      <c r="D307" s="493">
        <v>2</v>
      </c>
      <c r="E307" s="225">
        <f t="shared" si="18"/>
        <v>367799</v>
      </c>
      <c r="F307" s="229">
        <f t="shared" si="19"/>
        <v>368672</v>
      </c>
      <c r="G307" s="387">
        <f>325806-317</f>
        <v>325489</v>
      </c>
      <c r="H307" s="201">
        <v>328216</v>
      </c>
      <c r="I307" s="387">
        <v>18988</v>
      </c>
      <c r="J307" s="201">
        <v>23431</v>
      </c>
      <c r="K307" s="389">
        <v>14859</v>
      </c>
      <c r="L307" s="389">
        <v>8463</v>
      </c>
      <c r="M307" s="389"/>
      <c r="N307" s="202">
        <v>7948</v>
      </c>
      <c r="O307" s="202">
        <v>9071</v>
      </c>
      <c r="P307" s="202"/>
      <c r="Q307" s="389"/>
      <c r="R307" s="201">
        <v>6</v>
      </c>
      <c r="S307" s="225">
        <f t="shared" si="20"/>
        <v>57044</v>
      </c>
      <c r="T307" s="229">
        <f t="shared" si="21"/>
        <v>55031</v>
      </c>
      <c r="U307" s="387">
        <f>52195-4</f>
        <v>52191</v>
      </c>
      <c r="V307" s="201">
        <v>49889</v>
      </c>
      <c r="W307" s="387">
        <v>3515</v>
      </c>
      <c r="X307" s="201">
        <v>3765</v>
      </c>
      <c r="Y307" s="389">
        <v>1137</v>
      </c>
      <c r="Z307" s="389">
        <v>201</v>
      </c>
      <c r="AA307" s="389"/>
      <c r="AB307" s="202">
        <v>849</v>
      </c>
      <c r="AC307" s="202">
        <v>528</v>
      </c>
      <c r="AD307" s="202"/>
      <c r="AE307" s="389"/>
      <c r="AF307" s="240"/>
    </row>
    <row r="308" spans="1:32" s="203" customFormat="1">
      <c r="A308" s="491" t="s">
        <v>200</v>
      </c>
      <c r="B308" s="492" t="s">
        <v>883</v>
      </c>
      <c r="C308" s="491">
        <v>175342</v>
      </c>
      <c r="D308" s="493">
        <v>4</v>
      </c>
      <c r="E308" s="225">
        <f t="shared" si="18"/>
        <v>83421</v>
      </c>
      <c r="F308" s="229">
        <f t="shared" si="19"/>
        <v>77919</v>
      </c>
      <c r="G308" s="387">
        <v>77633</v>
      </c>
      <c r="H308" s="201">
        <v>75893</v>
      </c>
      <c r="I308" s="387"/>
      <c r="J308" s="201">
        <v>0</v>
      </c>
      <c r="K308" s="389">
        <v>5147</v>
      </c>
      <c r="L308" s="389"/>
      <c r="M308" s="389">
        <v>641</v>
      </c>
      <c r="N308" s="202">
        <v>1929</v>
      </c>
      <c r="O308" s="202">
        <v>35</v>
      </c>
      <c r="P308" s="202">
        <v>62</v>
      </c>
      <c r="Q308" s="389"/>
      <c r="R308" s="201"/>
      <c r="S308" s="225">
        <f t="shared" si="20"/>
        <v>10906</v>
      </c>
      <c r="T308" s="229">
        <f t="shared" si="21"/>
        <v>11283</v>
      </c>
      <c r="U308" s="387">
        <v>9783</v>
      </c>
      <c r="V308" s="201">
        <v>9489</v>
      </c>
      <c r="W308" s="387"/>
      <c r="X308" s="201"/>
      <c r="Y308" s="389">
        <v>974</v>
      </c>
      <c r="Z308" s="389"/>
      <c r="AA308" s="389">
        <v>149</v>
      </c>
      <c r="AB308" s="202">
        <v>1764</v>
      </c>
      <c r="AC308" s="202">
        <v>30</v>
      </c>
      <c r="AD308" s="202"/>
      <c r="AE308" s="389"/>
      <c r="AF308" s="240"/>
    </row>
    <row r="309" spans="1:32" s="203" customFormat="1">
      <c r="A309" s="491" t="s">
        <v>200</v>
      </c>
      <c r="B309" s="492" t="s">
        <v>884</v>
      </c>
      <c r="C309" s="491">
        <v>175616</v>
      </c>
      <c r="D309" s="493">
        <v>4</v>
      </c>
      <c r="E309" s="225">
        <f t="shared" si="18"/>
        <v>85634</v>
      </c>
      <c r="F309" s="229">
        <f t="shared" si="19"/>
        <v>81838</v>
      </c>
      <c r="G309" s="387">
        <v>79601</v>
      </c>
      <c r="H309" s="201">
        <v>72235</v>
      </c>
      <c r="I309" s="387">
        <v>3513</v>
      </c>
      <c r="J309" s="201">
        <v>1850</v>
      </c>
      <c r="K309" s="389">
        <v>2520</v>
      </c>
      <c r="L309" s="389"/>
      <c r="M309" s="389"/>
      <c r="N309" s="202">
        <v>7585</v>
      </c>
      <c r="O309" s="202"/>
      <c r="P309" s="202">
        <v>168</v>
      </c>
      <c r="Q309" s="389"/>
      <c r="R309" s="201"/>
      <c r="S309" s="225">
        <f t="shared" si="20"/>
        <v>12580</v>
      </c>
      <c r="T309" s="229">
        <f t="shared" si="21"/>
        <v>12817</v>
      </c>
      <c r="U309" s="387">
        <v>11268</v>
      </c>
      <c r="V309" s="201">
        <v>7633</v>
      </c>
      <c r="W309" s="387">
        <v>981</v>
      </c>
      <c r="X309" s="201">
        <v>525</v>
      </c>
      <c r="Y309" s="389">
        <v>331</v>
      </c>
      <c r="Z309" s="389"/>
      <c r="AA309" s="389"/>
      <c r="AB309" s="202">
        <v>4551</v>
      </c>
      <c r="AC309" s="202"/>
      <c r="AD309" s="202">
        <v>108</v>
      </c>
      <c r="AE309" s="389"/>
      <c r="AF309" s="240"/>
    </row>
    <row r="310" spans="1:32" s="203" customFormat="1">
      <c r="A310" s="491" t="s">
        <v>200</v>
      </c>
      <c r="B310" s="492" t="s">
        <v>885</v>
      </c>
      <c r="C310" s="491">
        <v>176035</v>
      </c>
      <c r="D310" s="496">
        <v>5</v>
      </c>
      <c r="E310" s="225">
        <f t="shared" si="18"/>
        <v>57179</v>
      </c>
      <c r="F310" s="229">
        <f t="shared" si="19"/>
        <v>55506</v>
      </c>
      <c r="G310" s="387">
        <v>52664</v>
      </c>
      <c r="H310" s="201">
        <v>50006</v>
      </c>
      <c r="I310" s="387"/>
      <c r="J310" s="201"/>
      <c r="K310" s="389">
        <v>4515</v>
      </c>
      <c r="L310" s="389"/>
      <c r="M310" s="389"/>
      <c r="N310" s="202">
        <v>5500</v>
      </c>
      <c r="O310" s="202"/>
      <c r="P310" s="202"/>
      <c r="Q310" s="389"/>
      <c r="R310" s="201"/>
      <c r="S310" s="225">
        <f t="shared" si="20"/>
        <v>3247</v>
      </c>
      <c r="T310" s="229">
        <f t="shared" si="21"/>
        <v>3095</v>
      </c>
      <c r="U310" s="387">
        <v>2614</v>
      </c>
      <c r="V310" s="201">
        <v>2276</v>
      </c>
      <c r="W310" s="387"/>
      <c r="X310" s="201"/>
      <c r="Y310" s="389">
        <v>633</v>
      </c>
      <c r="Z310" s="389"/>
      <c r="AA310" s="389"/>
      <c r="AB310" s="202">
        <v>819</v>
      </c>
      <c r="AC310" s="202"/>
      <c r="AD310" s="202"/>
      <c r="AE310" s="389"/>
      <c r="AF310" s="240"/>
    </row>
    <row r="311" spans="1:32" s="203" customFormat="1">
      <c r="A311" s="491" t="s">
        <v>200</v>
      </c>
      <c r="B311" s="492" t="s">
        <v>886</v>
      </c>
      <c r="C311" s="491">
        <v>176044</v>
      </c>
      <c r="D311" s="496">
        <v>5</v>
      </c>
      <c r="E311" s="225">
        <f t="shared" si="18"/>
        <v>75994</v>
      </c>
      <c r="F311" s="229">
        <f t="shared" si="19"/>
        <v>70414</v>
      </c>
      <c r="G311" s="387">
        <v>69944</v>
      </c>
      <c r="H311" s="201">
        <v>60549</v>
      </c>
      <c r="I311" s="387">
        <v>4695</v>
      </c>
      <c r="J311" s="201">
        <v>3411</v>
      </c>
      <c r="K311" s="389"/>
      <c r="L311" s="389"/>
      <c r="M311" s="389">
        <v>503</v>
      </c>
      <c r="N311" s="202">
        <v>5082</v>
      </c>
      <c r="O311" s="202"/>
      <c r="P311" s="202">
        <v>355</v>
      </c>
      <c r="Q311" s="389">
        <v>852</v>
      </c>
      <c r="R311" s="201">
        <v>1017</v>
      </c>
      <c r="S311" s="225">
        <f t="shared" si="20"/>
        <v>7849</v>
      </c>
      <c r="T311" s="229">
        <f t="shared" si="21"/>
        <v>6753</v>
      </c>
      <c r="U311" s="387">
        <v>5779</v>
      </c>
      <c r="V311" s="201">
        <v>5142</v>
      </c>
      <c r="W311" s="387">
        <v>1896</v>
      </c>
      <c r="X311" s="201">
        <v>936</v>
      </c>
      <c r="Y311" s="389"/>
      <c r="Z311" s="389"/>
      <c r="AA311" s="389">
        <v>153</v>
      </c>
      <c r="AB311" s="202">
        <v>525</v>
      </c>
      <c r="AC311" s="202"/>
      <c r="AD311" s="202">
        <v>150</v>
      </c>
      <c r="AE311" s="389">
        <v>21</v>
      </c>
      <c r="AF311" s="240">
        <v>0</v>
      </c>
    </row>
    <row r="312" spans="1:32" s="203" customFormat="1">
      <c r="A312" s="372" t="s">
        <v>200</v>
      </c>
      <c r="B312" s="373" t="s">
        <v>460</v>
      </c>
      <c r="C312" s="374">
        <v>175786</v>
      </c>
      <c r="D312" s="494">
        <v>8</v>
      </c>
      <c r="E312" s="225">
        <f t="shared" si="18"/>
        <v>248623</v>
      </c>
      <c r="F312" s="229">
        <f t="shared" si="19"/>
        <v>252637</v>
      </c>
      <c r="G312" s="226">
        <v>223206</v>
      </c>
      <c r="H312" s="221">
        <v>222871</v>
      </c>
      <c r="I312" s="226"/>
      <c r="J312" s="201"/>
      <c r="K312" s="228">
        <v>25417</v>
      </c>
      <c r="L312" s="228"/>
      <c r="M312" s="228"/>
      <c r="N312" s="202">
        <v>29766</v>
      </c>
      <c r="O312" s="202"/>
      <c r="P312" s="202"/>
      <c r="Q312" s="228"/>
      <c r="R312" s="201"/>
      <c r="S312" s="225">
        <f t="shared" si="20"/>
        <v>0</v>
      </c>
      <c r="T312" s="229">
        <f t="shared" si="21"/>
        <v>0</v>
      </c>
      <c r="U312" s="226"/>
      <c r="V312" s="201"/>
      <c r="W312" s="226"/>
      <c r="X312" s="201"/>
      <c r="Y312" s="228"/>
      <c r="Z312" s="228"/>
      <c r="AA312" s="228"/>
      <c r="AB312" s="202"/>
      <c r="AC312" s="202"/>
      <c r="AD312" s="202"/>
      <c r="AE312" s="228"/>
      <c r="AF312" s="240"/>
    </row>
    <row r="313" spans="1:32" s="232" customFormat="1">
      <c r="A313" s="372" t="s">
        <v>200</v>
      </c>
      <c r="B313" s="373" t="s">
        <v>461</v>
      </c>
      <c r="C313" s="372">
        <v>176071</v>
      </c>
      <c r="D313" s="350">
        <v>8</v>
      </c>
      <c r="E313" s="225">
        <f t="shared" si="18"/>
        <v>208343</v>
      </c>
      <c r="F313" s="229">
        <f t="shared" si="19"/>
        <v>217817</v>
      </c>
      <c r="G313" s="226">
        <v>183298</v>
      </c>
      <c r="H313" s="221">
        <v>186534</v>
      </c>
      <c r="I313" s="226"/>
      <c r="J313" s="201"/>
      <c r="K313" s="228">
        <v>25045</v>
      </c>
      <c r="L313" s="228"/>
      <c r="M313" s="228"/>
      <c r="N313" s="202">
        <v>31283</v>
      </c>
      <c r="O313" s="202"/>
      <c r="P313" s="202"/>
      <c r="Q313" s="228"/>
      <c r="R313" s="201"/>
      <c r="S313" s="225">
        <f t="shared" si="20"/>
        <v>0</v>
      </c>
      <c r="T313" s="229">
        <f t="shared" si="21"/>
        <v>0</v>
      </c>
      <c r="U313" s="226"/>
      <c r="V313" s="201"/>
      <c r="W313" s="226"/>
      <c r="X313" s="201"/>
      <c r="Y313" s="228"/>
      <c r="Z313" s="228"/>
      <c r="AA313" s="228"/>
      <c r="AB313" s="202"/>
      <c r="AC313" s="202"/>
      <c r="AD313" s="202"/>
      <c r="AE313" s="228"/>
      <c r="AF313" s="240"/>
    </row>
    <row r="314" spans="1:32" s="232" customFormat="1">
      <c r="A314" s="372" t="s">
        <v>200</v>
      </c>
      <c r="B314" s="373" t="s">
        <v>462</v>
      </c>
      <c r="C314" s="372">
        <v>176178</v>
      </c>
      <c r="D314" s="392">
        <v>8</v>
      </c>
      <c r="E314" s="225">
        <f t="shared" si="18"/>
        <v>158017</v>
      </c>
      <c r="F314" s="229">
        <f t="shared" si="19"/>
        <v>169830</v>
      </c>
      <c r="G314" s="226">
        <v>142320</v>
      </c>
      <c r="H314" s="221">
        <v>147239</v>
      </c>
      <c r="I314" s="226"/>
      <c r="J314" s="201"/>
      <c r="K314" s="228">
        <v>15697</v>
      </c>
      <c r="L314" s="228"/>
      <c r="M314" s="228"/>
      <c r="N314" s="201">
        <v>22591</v>
      </c>
      <c r="O314" s="201"/>
      <c r="P314" s="201"/>
      <c r="Q314" s="228"/>
      <c r="R314" s="201"/>
      <c r="S314" s="225">
        <f t="shared" si="20"/>
        <v>0</v>
      </c>
      <c r="T314" s="229">
        <f t="shared" si="21"/>
        <v>0</v>
      </c>
      <c r="U314" s="226"/>
      <c r="V314" s="201"/>
      <c r="W314" s="226"/>
      <c r="X314" s="201"/>
      <c r="Y314" s="228"/>
      <c r="Z314" s="228"/>
      <c r="AA314" s="228"/>
      <c r="AB314" s="202"/>
      <c r="AC314" s="202"/>
      <c r="AD314" s="202"/>
      <c r="AE314" s="228"/>
      <c r="AF314" s="240"/>
    </row>
    <row r="315" spans="1:32" s="232" customFormat="1">
      <c r="A315" s="372" t="s">
        <v>200</v>
      </c>
      <c r="B315" s="373" t="s">
        <v>463</v>
      </c>
      <c r="C315" s="374">
        <v>175573</v>
      </c>
      <c r="D315" s="495">
        <v>9</v>
      </c>
      <c r="E315" s="225">
        <f t="shared" si="18"/>
        <v>85401</v>
      </c>
      <c r="F315" s="229">
        <f t="shared" si="19"/>
        <v>85905</v>
      </c>
      <c r="G315" s="226">
        <v>73906</v>
      </c>
      <c r="H315" s="221">
        <v>75307</v>
      </c>
      <c r="I315" s="226"/>
      <c r="J315" s="201"/>
      <c r="K315" s="228">
        <v>11495</v>
      </c>
      <c r="L315" s="228"/>
      <c r="M315" s="228"/>
      <c r="N315" s="201">
        <v>10598</v>
      </c>
      <c r="O315" s="201"/>
      <c r="P315" s="201"/>
      <c r="Q315" s="228"/>
      <c r="R315" s="201"/>
      <c r="S315" s="225">
        <f t="shared" si="20"/>
        <v>0</v>
      </c>
      <c r="T315" s="229">
        <f t="shared" si="21"/>
        <v>0</v>
      </c>
      <c r="U315" s="226"/>
      <c r="V315" s="201"/>
      <c r="W315" s="226"/>
      <c r="X315" s="201"/>
      <c r="Y315" s="228"/>
      <c r="Z315" s="228"/>
      <c r="AA315" s="228"/>
      <c r="AB315" s="202"/>
      <c r="AC315" s="202"/>
      <c r="AD315" s="202"/>
      <c r="AE315" s="228"/>
      <c r="AF315" s="240"/>
    </row>
    <row r="316" spans="1:32" s="232" customFormat="1">
      <c r="A316" s="372" t="s">
        <v>200</v>
      </c>
      <c r="B316" s="373" t="s">
        <v>464</v>
      </c>
      <c r="C316" s="372">
        <v>175643</v>
      </c>
      <c r="D316" s="345">
        <v>9</v>
      </c>
      <c r="E316" s="225">
        <f t="shared" si="18"/>
        <v>59872</v>
      </c>
      <c r="F316" s="229">
        <f t="shared" si="19"/>
        <v>62475</v>
      </c>
      <c r="G316" s="226">
        <v>53776</v>
      </c>
      <c r="H316" s="221">
        <v>54907</v>
      </c>
      <c r="I316" s="226"/>
      <c r="J316" s="201"/>
      <c r="K316" s="228">
        <v>6096</v>
      </c>
      <c r="L316" s="228"/>
      <c r="M316" s="228"/>
      <c r="N316" s="201">
        <v>7568</v>
      </c>
      <c r="O316" s="201"/>
      <c r="P316" s="201"/>
      <c r="Q316" s="228"/>
      <c r="R316" s="201"/>
      <c r="S316" s="225">
        <f t="shared" si="20"/>
        <v>0</v>
      </c>
      <c r="T316" s="229">
        <f t="shared" si="21"/>
        <v>0</v>
      </c>
      <c r="U316" s="226"/>
      <c r="V316" s="201"/>
      <c r="W316" s="226"/>
      <c r="X316" s="201"/>
      <c r="Y316" s="228"/>
      <c r="Z316" s="228"/>
      <c r="AA316" s="228"/>
      <c r="AB316" s="202"/>
      <c r="AC316" s="202"/>
      <c r="AD316" s="202"/>
      <c r="AE316" s="228"/>
      <c r="AF316" s="240"/>
    </row>
    <row r="317" spans="1:32" s="232" customFormat="1">
      <c r="A317" s="372" t="s">
        <v>200</v>
      </c>
      <c r="B317" s="373" t="s">
        <v>465</v>
      </c>
      <c r="C317" s="372">
        <v>175652</v>
      </c>
      <c r="D317" s="392">
        <v>9</v>
      </c>
      <c r="E317" s="225">
        <f t="shared" si="18"/>
        <v>98866</v>
      </c>
      <c r="F317" s="229">
        <f t="shared" si="19"/>
        <v>102249</v>
      </c>
      <c r="G317" s="226">
        <v>73689</v>
      </c>
      <c r="H317" s="221">
        <v>78003</v>
      </c>
      <c r="I317" s="226"/>
      <c r="J317" s="201"/>
      <c r="K317" s="228">
        <v>25177</v>
      </c>
      <c r="L317" s="228"/>
      <c r="M317" s="228"/>
      <c r="N317" s="201">
        <v>24246</v>
      </c>
      <c r="O317" s="201"/>
      <c r="P317" s="201"/>
      <c r="Q317" s="228"/>
      <c r="R317" s="201"/>
      <c r="S317" s="225">
        <f t="shared" si="20"/>
        <v>0</v>
      </c>
      <c r="T317" s="229">
        <f t="shared" si="21"/>
        <v>0</v>
      </c>
      <c r="U317" s="226"/>
      <c r="V317" s="201"/>
      <c r="W317" s="226"/>
      <c r="X317" s="201"/>
      <c r="Y317" s="228"/>
      <c r="Z317" s="228"/>
      <c r="AA317" s="228"/>
      <c r="AB317" s="202"/>
      <c r="AC317" s="202"/>
      <c r="AD317" s="202"/>
      <c r="AE317" s="228"/>
      <c r="AF317" s="240"/>
    </row>
    <row r="318" spans="1:32" s="232" customFormat="1">
      <c r="A318" s="372" t="s">
        <v>200</v>
      </c>
      <c r="B318" s="373" t="s">
        <v>466</v>
      </c>
      <c r="C318" s="372">
        <v>175810</v>
      </c>
      <c r="D318" s="392">
        <v>9</v>
      </c>
      <c r="E318" s="225">
        <f t="shared" si="18"/>
        <v>129495</v>
      </c>
      <c r="F318" s="229">
        <f t="shared" si="19"/>
        <v>125571</v>
      </c>
      <c r="G318" s="226">
        <v>115466</v>
      </c>
      <c r="H318" s="221">
        <v>117606</v>
      </c>
      <c r="I318" s="226"/>
      <c r="J318" s="201"/>
      <c r="K318" s="228">
        <v>14029</v>
      </c>
      <c r="L318" s="228"/>
      <c r="M318" s="228"/>
      <c r="N318" s="201">
        <v>7965</v>
      </c>
      <c r="O318" s="201"/>
      <c r="P318" s="201"/>
      <c r="Q318" s="228"/>
      <c r="R318" s="201"/>
      <c r="S318" s="225">
        <f t="shared" si="20"/>
        <v>0</v>
      </c>
      <c r="T318" s="229">
        <f t="shared" si="21"/>
        <v>0</v>
      </c>
      <c r="U318" s="226"/>
      <c r="V318" s="201"/>
      <c r="W318" s="226"/>
      <c r="X318" s="201"/>
      <c r="Y318" s="228"/>
      <c r="Z318" s="228"/>
      <c r="AA318" s="228"/>
      <c r="AB318" s="202"/>
      <c r="AC318" s="202"/>
      <c r="AD318" s="202"/>
      <c r="AE318" s="228"/>
      <c r="AF318" s="240"/>
    </row>
    <row r="319" spans="1:32" s="232" customFormat="1">
      <c r="A319" s="372" t="s">
        <v>200</v>
      </c>
      <c r="B319" s="278" t="s">
        <v>467</v>
      </c>
      <c r="C319" s="372">
        <v>175829</v>
      </c>
      <c r="D319" s="392">
        <v>9</v>
      </c>
      <c r="E319" s="225">
        <f t="shared" si="18"/>
        <v>144581</v>
      </c>
      <c r="F319" s="229">
        <f t="shared" si="19"/>
        <v>171344</v>
      </c>
      <c r="G319" s="226">
        <v>106003</v>
      </c>
      <c r="H319" s="221">
        <v>114483</v>
      </c>
      <c r="I319" s="226"/>
      <c r="J319" s="201"/>
      <c r="K319" s="228">
        <v>38578</v>
      </c>
      <c r="L319" s="228"/>
      <c r="M319" s="228"/>
      <c r="N319" s="201">
        <v>56861</v>
      </c>
      <c r="O319" s="201"/>
      <c r="P319" s="201"/>
      <c r="Q319" s="228"/>
      <c r="R319" s="201"/>
      <c r="S319" s="225">
        <f t="shared" si="20"/>
        <v>0</v>
      </c>
      <c r="T319" s="229">
        <f t="shared" si="21"/>
        <v>0</v>
      </c>
      <c r="U319" s="226"/>
      <c r="V319" s="201"/>
      <c r="W319" s="226"/>
      <c r="X319" s="201"/>
      <c r="Y319" s="228"/>
      <c r="Z319" s="228"/>
      <c r="AA319" s="228"/>
      <c r="AB319" s="202"/>
      <c r="AC319" s="202"/>
      <c r="AD319" s="202"/>
      <c r="AE319" s="228"/>
      <c r="AF319" s="240"/>
    </row>
    <row r="320" spans="1:32" s="232" customFormat="1">
      <c r="A320" s="372" t="s">
        <v>200</v>
      </c>
      <c r="B320" s="373" t="s">
        <v>468</v>
      </c>
      <c r="C320" s="372">
        <v>175883</v>
      </c>
      <c r="D320" s="392">
        <v>9</v>
      </c>
      <c r="E320" s="225">
        <f t="shared" si="18"/>
        <v>122143</v>
      </c>
      <c r="F320" s="229">
        <f t="shared" si="19"/>
        <v>125912</v>
      </c>
      <c r="G320" s="226">
        <v>115732</v>
      </c>
      <c r="H320" s="221">
        <v>111698</v>
      </c>
      <c r="I320" s="226"/>
      <c r="J320" s="201"/>
      <c r="K320" s="228">
        <v>6411</v>
      </c>
      <c r="L320" s="228"/>
      <c r="M320" s="228"/>
      <c r="N320" s="201">
        <v>14214</v>
      </c>
      <c r="O320" s="201"/>
      <c r="P320" s="201"/>
      <c r="Q320" s="228"/>
      <c r="R320" s="201"/>
      <c r="S320" s="225">
        <f t="shared" si="20"/>
        <v>0</v>
      </c>
      <c r="T320" s="229">
        <f t="shared" si="21"/>
        <v>0</v>
      </c>
      <c r="U320" s="226"/>
      <c r="V320" s="201"/>
      <c r="W320" s="226"/>
      <c r="X320" s="201"/>
      <c r="Y320" s="228"/>
      <c r="Z320" s="228"/>
      <c r="AA320" s="228"/>
      <c r="AB320" s="202"/>
      <c r="AC320" s="202"/>
      <c r="AD320" s="202"/>
      <c r="AE320" s="228"/>
      <c r="AF320" s="240"/>
    </row>
    <row r="321" spans="1:32" s="232" customFormat="1">
      <c r="A321" s="372" t="s">
        <v>200</v>
      </c>
      <c r="B321" s="373" t="s">
        <v>469</v>
      </c>
      <c r="C321" s="372">
        <v>175935</v>
      </c>
      <c r="D321" s="392">
        <v>9</v>
      </c>
      <c r="E321" s="225">
        <f t="shared" si="18"/>
        <v>86471</v>
      </c>
      <c r="F321" s="229">
        <f t="shared" si="19"/>
        <v>88855</v>
      </c>
      <c r="G321" s="226">
        <v>78950</v>
      </c>
      <c r="H321" s="221">
        <v>78812</v>
      </c>
      <c r="I321" s="226"/>
      <c r="J321" s="201"/>
      <c r="K321" s="228">
        <v>7521</v>
      </c>
      <c r="L321" s="228"/>
      <c r="M321" s="228"/>
      <c r="N321" s="201">
        <v>10043</v>
      </c>
      <c r="O321" s="201"/>
      <c r="P321" s="201"/>
      <c r="Q321" s="228"/>
      <c r="R321" s="201"/>
      <c r="S321" s="225">
        <f t="shared" si="20"/>
        <v>0</v>
      </c>
      <c r="T321" s="229">
        <f t="shared" si="21"/>
        <v>0</v>
      </c>
      <c r="U321" s="226"/>
      <c r="V321" s="201"/>
      <c r="W321" s="226"/>
      <c r="X321" s="201"/>
      <c r="Y321" s="228"/>
      <c r="Z321" s="228"/>
      <c r="AA321" s="228"/>
      <c r="AB321" s="202"/>
      <c r="AC321" s="202"/>
      <c r="AD321" s="202"/>
      <c r="AE321" s="228"/>
      <c r="AF321" s="240"/>
    </row>
    <row r="322" spans="1:32" s="232" customFormat="1">
      <c r="A322" s="372" t="s">
        <v>200</v>
      </c>
      <c r="B322" s="373" t="s">
        <v>470</v>
      </c>
      <c r="C322" s="372">
        <v>176008</v>
      </c>
      <c r="D322" s="392">
        <v>9</v>
      </c>
      <c r="E322" s="225">
        <f t="shared" si="18"/>
        <v>72354</v>
      </c>
      <c r="F322" s="229">
        <f t="shared" si="19"/>
        <v>75373</v>
      </c>
      <c r="G322" s="226">
        <v>64016</v>
      </c>
      <c r="H322" s="221">
        <v>65602</v>
      </c>
      <c r="I322" s="226"/>
      <c r="J322" s="201"/>
      <c r="K322" s="228">
        <v>8338</v>
      </c>
      <c r="L322" s="228"/>
      <c r="M322" s="228"/>
      <c r="N322" s="201">
        <v>9771</v>
      </c>
      <c r="O322" s="201"/>
      <c r="P322" s="201"/>
      <c r="Q322" s="228"/>
      <c r="R322" s="201"/>
      <c r="S322" s="225">
        <f t="shared" si="20"/>
        <v>0</v>
      </c>
      <c r="T322" s="229">
        <f t="shared" si="21"/>
        <v>0</v>
      </c>
      <c r="U322" s="226"/>
      <c r="V322" s="201"/>
      <c r="W322" s="226"/>
      <c r="X322" s="201"/>
      <c r="Y322" s="228"/>
      <c r="Z322" s="228"/>
      <c r="AA322" s="228"/>
      <c r="AB322" s="202"/>
      <c r="AC322" s="202"/>
      <c r="AD322" s="202"/>
      <c r="AE322" s="228"/>
      <c r="AF322" s="240"/>
    </row>
    <row r="323" spans="1:32" s="232" customFormat="1">
      <c r="A323" s="372" t="s">
        <v>200</v>
      </c>
      <c r="B323" s="373" t="s">
        <v>471</v>
      </c>
      <c r="C323" s="372">
        <v>176169</v>
      </c>
      <c r="D323" s="345">
        <v>9</v>
      </c>
      <c r="E323" s="225">
        <f t="shared" si="18"/>
        <v>89230</v>
      </c>
      <c r="F323" s="229">
        <f t="shared" si="19"/>
        <v>84118</v>
      </c>
      <c r="G323" s="226">
        <v>80812</v>
      </c>
      <c r="H323" s="221">
        <v>76114</v>
      </c>
      <c r="I323" s="226"/>
      <c r="J323" s="201"/>
      <c r="K323" s="228">
        <v>8418</v>
      </c>
      <c r="L323" s="228"/>
      <c r="M323" s="228"/>
      <c r="N323" s="201">
        <v>8004</v>
      </c>
      <c r="O323" s="201"/>
      <c r="P323" s="201"/>
      <c r="Q323" s="228"/>
      <c r="R323" s="201"/>
      <c r="S323" s="225">
        <f t="shared" si="20"/>
        <v>0</v>
      </c>
      <c r="T323" s="229">
        <f t="shared" si="21"/>
        <v>0</v>
      </c>
      <c r="U323" s="226"/>
      <c r="V323" s="201"/>
      <c r="W323" s="226"/>
      <c r="X323" s="201"/>
      <c r="Y323" s="228"/>
      <c r="Z323" s="228"/>
      <c r="AA323" s="228"/>
      <c r="AB323" s="202"/>
      <c r="AC323" s="202"/>
      <c r="AD323" s="202"/>
      <c r="AE323" s="228"/>
      <c r="AF323" s="240"/>
    </row>
    <row r="324" spans="1:32" s="232" customFormat="1">
      <c r="A324" s="372" t="s">
        <v>200</v>
      </c>
      <c r="B324" s="373" t="s">
        <v>472</v>
      </c>
      <c r="C324" s="374">
        <v>176239</v>
      </c>
      <c r="D324" s="495">
        <v>9</v>
      </c>
      <c r="E324" s="225">
        <f t="shared" si="18"/>
        <v>95984</v>
      </c>
      <c r="F324" s="229">
        <f t="shared" si="19"/>
        <v>102366</v>
      </c>
      <c r="G324" s="226">
        <v>88238</v>
      </c>
      <c r="H324" s="221">
        <v>92751</v>
      </c>
      <c r="I324" s="226"/>
      <c r="J324" s="201"/>
      <c r="K324" s="228">
        <v>7746</v>
      </c>
      <c r="L324" s="228"/>
      <c r="M324" s="228"/>
      <c r="N324" s="201">
        <v>9615</v>
      </c>
      <c r="O324" s="201"/>
      <c r="P324" s="201"/>
      <c r="Q324" s="228"/>
      <c r="R324" s="201"/>
      <c r="S324" s="225">
        <f t="shared" si="20"/>
        <v>0</v>
      </c>
      <c r="T324" s="229">
        <f t="shared" si="21"/>
        <v>0</v>
      </c>
      <c r="U324" s="226"/>
      <c r="V324" s="201"/>
      <c r="W324" s="226"/>
      <c r="X324" s="201"/>
      <c r="Y324" s="228"/>
      <c r="Z324" s="228"/>
      <c r="AA324" s="228"/>
      <c r="AB324" s="202"/>
      <c r="AC324" s="202"/>
      <c r="AD324" s="202"/>
      <c r="AE324" s="228"/>
      <c r="AF324" s="240"/>
    </row>
    <row r="325" spans="1:32" s="232" customFormat="1">
      <c r="A325" s="372" t="s">
        <v>200</v>
      </c>
      <c r="B325" s="373" t="s">
        <v>473</v>
      </c>
      <c r="C325" s="372">
        <v>175519</v>
      </c>
      <c r="D325" s="392">
        <v>10</v>
      </c>
      <c r="E325" s="225">
        <f t="shared" si="18"/>
        <v>50502</v>
      </c>
      <c r="F325" s="229">
        <f t="shared" si="19"/>
        <v>44376</v>
      </c>
      <c r="G325" s="226">
        <v>44108</v>
      </c>
      <c r="H325" s="221">
        <v>41043</v>
      </c>
      <c r="I325" s="226"/>
      <c r="J325" s="201"/>
      <c r="K325" s="228">
        <v>6394</v>
      </c>
      <c r="L325" s="228"/>
      <c r="M325" s="228"/>
      <c r="N325" s="201">
        <v>3333</v>
      </c>
      <c r="O325" s="201"/>
      <c r="P325" s="201"/>
      <c r="Q325" s="228"/>
      <c r="R325" s="201"/>
      <c r="S325" s="225">
        <f t="shared" si="20"/>
        <v>0</v>
      </c>
      <c r="T325" s="229">
        <f t="shared" si="21"/>
        <v>0</v>
      </c>
      <c r="U325" s="226"/>
      <c r="V325" s="201"/>
      <c r="W325" s="226"/>
      <c r="X325" s="201"/>
      <c r="Y325" s="228"/>
      <c r="Z325" s="228"/>
      <c r="AA325" s="228"/>
      <c r="AB325" s="202"/>
      <c r="AC325" s="202"/>
      <c r="AD325" s="202"/>
      <c r="AE325" s="228"/>
      <c r="AF325" s="240"/>
    </row>
    <row r="326" spans="1:32" s="232" customFormat="1">
      <c r="A326" s="372" t="s">
        <v>200</v>
      </c>
      <c r="B326" s="373" t="s">
        <v>474</v>
      </c>
      <c r="C326" s="372">
        <v>176354</v>
      </c>
      <c r="D326" s="392">
        <v>10</v>
      </c>
      <c r="E326" s="225">
        <f t="shared" ref="E326:E389" si="22">SUM(G326,I326,K326,L326,M326,Q326)</f>
        <v>48204</v>
      </c>
      <c r="F326" s="229">
        <f t="shared" ref="F326:F389" si="23">SUM(H326,J326,N326,O326,P326,R326)</f>
        <v>48922</v>
      </c>
      <c r="G326" s="226">
        <v>41925</v>
      </c>
      <c r="H326" s="221">
        <v>44458</v>
      </c>
      <c r="I326" s="226"/>
      <c r="J326" s="201"/>
      <c r="K326" s="228">
        <v>6279</v>
      </c>
      <c r="L326" s="228"/>
      <c r="M326" s="228"/>
      <c r="N326" s="201">
        <v>4464</v>
      </c>
      <c r="O326" s="201"/>
      <c r="P326" s="201"/>
      <c r="Q326" s="228"/>
      <c r="R326" s="201"/>
      <c r="S326" s="225">
        <f t="shared" ref="S326:S389" si="24">SUM(U326,W326,Y326,Z326,AA326,AE326)</f>
        <v>0</v>
      </c>
      <c r="T326" s="229">
        <f t="shared" ref="T326:T389" si="25">SUM(V326,X326,AB326,AC326,AD326,AF326)</f>
        <v>0</v>
      </c>
      <c r="U326" s="226"/>
      <c r="V326" s="201"/>
      <c r="W326" s="226"/>
      <c r="X326" s="201"/>
      <c r="Y326" s="228"/>
      <c r="Z326" s="228"/>
      <c r="AA326" s="228"/>
      <c r="AB326" s="202"/>
      <c r="AC326" s="202"/>
      <c r="AD326" s="202"/>
      <c r="AE326" s="228"/>
      <c r="AF326" s="240"/>
    </row>
    <row r="327" spans="1:32" s="232" customFormat="1">
      <c r="A327" s="241" t="s">
        <v>201</v>
      </c>
      <c r="B327" s="281" t="s">
        <v>533</v>
      </c>
      <c r="C327" s="241">
        <v>199193</v>
      </c>
      <c r="D327" s="375">
        <v>1</v>
      </c>
      <c r="E327" s="225">
        <f t="shared" si="22"/>
        <v>677675</v>
      </c>
      <c r="F327" s="229">
        <f t="shared" si="23"/>
        <v>696388</v>
      </c>
      <c r="G327" s="226">
        <v>633697</v>
      </c>
      <c r="H327" s="201">
        <v>648340</v>
      </c>
      <c r="I327" s="226">
        <v>14886</v>
      </c>
      <c r="J327" s="201">
        <v>3618</v>
      </c>
      <c r="K327" s="228">
        <v>28414</v>
      </c>
      <c r="L327" s="228"/>
      <c r="M327" s="228">
        <v>678</v>
      </c>
      <c r="N327" s="201">
        <v>33227</v>
      </c>
      <c r="O327" s="201">
        <v>0</v>
      </c>
      <c r="P327" s="201">
        <v>11203</v>
      </c>
      <c r="Q327" s="228"/>
      <c r="R327" s="201"/>
      <c r="S327" s="225">
        <f t="shared" si="24"/>
        <v>109627</v>
      </c>
      <c r="T327" s="229">
        <f t="shared" si="25"/>
        <v>116247</v>
      </c>
      <c r="U327" s="226">
        <v>96462</v>
      </c>
      <c r="V327" s="201">
        <v>100229</v>
      </c>
      <c r="W327" s="226">
        <v>4764</v>
      </c>
      <c r="X327" s="201">
        <v>5868</v>
      </c>
      <c r="Y327" s="228">
        <v>8017</v>
      </c>
      <c r="Z327" s="228"/>
      <c r="AA327" s="228">
        <v>384</v>
      </c>
      <c r="AB327" s="202">
        <v>10020</v>
      </c>
      <c r="AC327" s="202"/>
      <c r="AD327" s="202">
        <v>130</v>
      </c>
      <c r="AE327" s="228"/>
      <c r="AF327" s="240"/>
    </row>
    <row r="328" spans="1:32" s="232" customFormat="1">
      <c r="A328" s="241" t="s">
        <v>201</v>
      </c>
      <c r="B328" s="281" t="s">
        <v>534</v>
      </c>
      <c r="C328" s="241">
        <v>199120</v>
      </c>
      <c r="D328" s="375">
        <v>1</v>
      </c>
      <c r="E328" s="225">
        <f t="shared" si="22"/>
        <v>484313</v>
      </c>
      <c r="F328" s="229">
        <f t="shared" si="23"/>
        <v>494960</v>
      </c>
      <c r="G328" s="226">
        <v>475013</v>
      </c>
      <c r="H328" s="201">
        <v>481040</v>
      </c>
      <c r="I328" s="226">
        <v>1564</v>
      </c>
      <c r="J328" s="201">
        <v>869</v>
      </c>
      <c r="K328" s="228">
        <v>7136</v>
      </c>
      <c r="L328" s="228">
        <v>600</v>
      </c>
      <c r="M328" s="228"/>
      <c r="N328" s="201">
        <v>12815</v>
      </c>
      <c r="O328" s="201">
        <v>236</v>
      </c>
      <c r="P328" s="201"/>
      <c r="Q328" s="228"/>
      <c r="R328" s="201"/>
      <c r="S328" s="225">
        <f t="shared" si="24"/>
        <v>192719</v>
      </c>
      <c r="T328" s="229">
        <f t="shared" si="25"/>
        <v>187419</v>
      </c>
      <c r="U328" s="226">
        <v>171019</v>
      </c>
      <c r="V328" s="201">
        <v>156326</v>
      </c>
      <c r="W328" s="226">
        <v>13244</v>
      </c>
      <c r="X328" s="201">
        <v>17365</v>
      </c>
      <c r="Y328" s="228">
        <v>7895</v>
      </c>
      <c r="Z328" s="228">
        <v>561</v>
      </c>
      <c r="AA328" s="228"/>
      <c r="AB328" s="202">
        <v>12072</v>
      </c>
      <c r="AC328" s="202">
        <v>1656</v>
      </c>
      <c r="AD328" s="202"/>
      <c r="AE328" s="228"/>
      <c r="AF328" s="240"/>
    </row>
    <row r="329" spans="1:32" s="232" customFormat="1">
      <c r="A329" s="241" t="s">
        <v>201</v>
      </c>
      <c r="B329" s="281" t="s">
        <v>535</v>
      </c>
      <c r="C329" s="241">
        <v>199139</v>
      </c>
      <c r="D329" s="375">
        <v>2</v>
      </c>
      <c r="E329" s="225">
        <f t="shared" si="22"/>
        <v>477547</v>
      </c>
      <c r="F329" s="229">
        <f t="shared" si="23"/>
        <v>497893</v>
      </c>
      <c r="G329" s="226">
        <v>469411</v>
      </c>
      <c r="H329" s="201">
        <v>485499</v>
      </c>
      <c r="I329" s="226">
        <v>334</v>
      </c>
      <c r="J329" s="201">
        <v>571</v>
      </c>
      <c r="K329" s="228">
        <v>7802</v>
      </c>
      <c r="L329" s="228"/>
      <c r="M329" s="228"/>
      <c r="N329" s="201">
        <v>11763</v>
      </c>
      <c r="O329" s="201">
        <v>60</v>
      </c>
      <c r="P329" s="201"/>
      <c r="Q329" s="228"/>
      <c r="R329" s="201"/>
      <c r="S329" s="225">
        <f t="shared" si="24"/>
        <v>65835</v>
      </c>
      <c r="T329" s="229">
        <f t="shared" si="25"/>
        <v>69510</v>
      </c>
      <c r="U329" s="226">
        <v>55892</v>
      </c>
      <c r="V329" s="201">
        <v>58695</v>
      </c>
      <c r="W329" s="226">
        <v>5649</v>
      </c>
      <c r="X329" s="201">
        <v>5627</v>
      </c>
      <c r="Y329" s="228">
        <v>4240</v>
      </c>
      <c r="Z329" s="228">
        <v>54</v>
      </c>
      <c r="AA329" s="228"/>
      <c r="AB329" s="202">
        <v>5155</v>
      </c>
      <c r="AC329" s="202">
        <v>33</v>
      </c>
      <c r="AD329" s="202"/>
      <c r="AE329" s="228"/>
      <c r="AF329" s="240"/>
    </row>
    <row r="330" spans="1:32" s="232" customFormat="1">
      <c r="A330" s="241" t="s">
        <v>201</v>
      </c>
      <c r="B330" s="281" t="s">
        <v>536</v>
      </c>
      <c r="C330" s="241">
        <v>199148</v>
      </c>
      <c r="D330" s="376">
        <v>2</v>
      </c>
      <c r="E330" s="225">
        <f t="shared" si="22"/>
        <v>365663</v>
      </c>
      <c r="F330" s="229">
        <f t="shared" si="23"/>
        <v>393630</v>
      </c>
      <c r="G330" s="226">
        <v>338760</v>
      </c>
      <c r="H330" s="201">
        <v>346735</v>
      </c>
      <c r="I330" s="226">
        <v>1878</v>
      </c>
      <c r="J330" s="201">
        <v>13867</v>
      </c>
      <c r="K330" s="228">
        <v>24971</v>
      </c>
      <c r="L330" s="228">
        <v>54</v>
      </c>
      <c r="M330" s="228"/>
      <c r="N330" s="201">
        <v>32920</v>
      </c>
      <c r="O330" s="201">
        <v>108</v>
      </c>
      <c r="P330" s="201"/>
      <c r="Q330" s="228"/>
      <c r="R330" s="201"/>
      <c r="S330" s="225">
        <f t="shared" si="24"/>
        <v>68281</v>
      </c>
      <c r="T330" s="229">
        <f t="shared" si="25"/>
        <v>68241</v>
      </c>
      <c r="U330" s="226">
        <v>55508</v>
      </c>
      <c r="V330" s="201">
        <v>56405</v>
      </c>
      <c r="W330" s="226">
        <v>4726</v>
      </c>
      <c r="X330" s="201">
        <v>5266</v>
      </c>
      <c r="Y330" s="228">
        <v>7615</v>
      </c>
      <c r="Z330" s="228">
        <v>432</v>
      </c>
      <c r="AA330" s="228"/>
      <c r="AB330" s="202">
        <v>6399</v>
      </c>
      <c r="AC330" s="202">
        <v>171</v>
      </c>
      <c r="AD330" s="202"/>
      <c r="AE330" s="228"/>
      <c r="AF330" s="240"/>
    </row>
    <row r="331" spans="1:32" s="232" customFormat="1">
      <c r="A331" s="241" t="s">
        <v>201</v>
      </c>
      <c r="B331" s="281" t="s">
        <v>537</v>
      </c>
      <c r="C331" s="241">
        <v>197869</v>
      </c>
      <c r="D331" s="375">
        <v>3</v>
      </c>
      <c r="E331" s="225">
        <f t="shared" si="22"/>
        <v>409754</v>
      </c>
      <c r="F331" s="229">
        <f t="shared" si="23"/>
        <v>432244</v>
      </c>
      <c r="G331" s="226">
        <v>401583</v>
      </c>
      <c r="H331" s="201">
        <v>421112</v>
      </c>
      <c r="I331" s="226">
        <v>7304</v>
      </c>
      <c r="J331" s="201">
        <v>9622</v>
      </c>
      <c r="K331" s="228">
        <v>867</v>
      </c>
      <c r="L331" s="228"/>
      <c r="M331" s="228"/>
      <c r="N331" s="201">
        <v>1510</v>
      </c>
      <c r="O331" s="201">
        <v>0</v>
      </c>
      <c r="P331" s="201"/>
      <c r="Q331" s="228"/>
      <c r="R331" s="201"/>
      <c r="S331" s="225">
        <f t="shared" si="24"/>
        <v>33140</v>
      </c>
      <c r="T331" s="229">
        <f t="shared" si="25"/>
        <v>36265</v>
      </c>
      <c r="U331" s="226">
        <v>19681</v>
      </c>
      <c r="V331" s="201">
        <v>21084</v>
      </c>
      <c r="W331" s="226">
        <v>12655</v>
      </c>
      <c r="X331" s="201">
        <v>13738</v>
      </c>
      <c r="Y331" s="228">
        <v>804</v>
      </c>
      <c r="Z331" s="228"/>
      <c r="AA331" s="228"/>
      <c r="AB331" s="202">
        <v>1443</v>
      </c>
      <c r="AC331" s="202"/>
      <c r="AD331" s="202"/>
      <c r="AE331" s="228"/>
      <c r="AF331" s="240"/>
    </row>
    <row r="332" spans="1:32" s="232" customFormat="1">
      <c r="A332" s="241" t="s">
        <v>201</v>
      </c>
      <c r="B332" s="281" t="s">
        <v>538</v>
      </c>
      <c r="C332" s="241">
        <v>198464</v>
      </c>
      <c r="D332" s="375">
        <v>3</v>
      </c>
      <c r="E332" s="225">
        <f t="shared" si="22"/>
        <v>539396</v>
      </c>
      <c r="F332" s="229">
        <f t="shared" si="23"/>
        <v>568728</v>
      </c>
      <c r="G332" s="226">
        <v>475929</v>
      </c>
      <c r="H332" s="201">
        <v>494643</v>
      </c>
      <c r="I332" s="226">
        <v>2010</v>
      </c>
      <c r="J332" s="201">
        <v>11145</v>
      </c>
      <c r="K332" s="228">
        <v>61457</v>
      </c>
      <c r="L332" s="228"/>
      <c r="M332" s="228"/>
      <c r="N332" s="201">
        <v>62940</v>
      </c>
      <c r="O332" s="201">
        <v>0</v>
      </c>
      <c r="P332" s="201"/>
      <c r="Q332" s="228"/>
      <c r="R332" s="201"/>
      <c r="S332" s="225">
        <f t="shared" si="24"/>
        <v>93806</v>
      </c>
      <c r="T332" s="229">
        <f t="shared" si="25"/>
        <v>97358</v>
      </c>
      <c r="U332" s="226">
        <v>49547</v>
      </c>
      <c r="V332" s="201">
        <v>45779</v>
      </c>
      <c r="W332" s="226">
        <v>3319</v>
      </c>
      <c r="X332" s="201">
        <v>8493</v>
      </c>
      <c r="Y332" s="228">
        <v>40892</v>
      </c>
      <c r="Z332" s="228"/>
      <c r="AA332" s="228">
        <v>48</v>
      </c>
      <c r="AB332" s="202">
        <v>43086</v>
      </c>
      <c r="AC332" s="202"/>
      <c r="AD332" s="202"/>
      <c r="AE332" s="228"/>
      <c r="AF332" s="240"/>
    </row>
    <row r="333" spans="1:32" s="232" customFormat="1">
      <c r="A333" s="241" t="s">
        <v>201</v>
      </c>
      <c r="B333" s="281" t="s">
        <v>835</v>
      </c>
      <c r="C333" s="241">
        <v>199102</v>
      </c>
      <c r="D333" s="376">
        <v>3</v>
      </c>
      <c r="E333" s="225">
        <f t="shared" si="22"/>
        <v>278328</v>
      </c>
      <c r="F333" s="229">
        <f t="shared" si="23"/>
        <v>263262</v>
      </c>
      <c r="G333" s="226">
        <v>260199</v>
      </c>
      <c r="H333" s="201">
        <v>246137</v>
      </c>
      <c r="I333" s="226">
        <v>4466</v>
      </c>
      <c r="J333" s="201">
        <v>3331</v>
      </c>
      <c r="K333" s="228">
        <v>13663</v>
      </c>
      <c r="L333" s="228"/>
      <c r="M333" s="228"/>
      <c r="N333" s="201">
        <v>13794</v>
      </c>
      <c r="O333" s="201">
        <v>0</v>
      </c>
      <c r="P333" s="201"/>
      <c r="Q333" s="228"/>
      <c r="R333" s="201"/>
      <c r="S333" s="225">
        <f t="shared" si="24"/>
        <v>31947</v>
      </c>
      <c r="T333" s="229">
        <f t="shared" si="25"/>
        <v>33336</v>
      </c>
      <c r="U333" s="226">
        <v>23753</v>
      </c>
      <c r="V333" s="201">
        <v>23243</v>
      </c>
      <c r="W333" s="226">
        <v>3072</v>
      </c>
      <c r="X333" s="201">
        <v>4861</v>
      </c>
      <c r="Y333" s="228">
        <v>5122</v>
      </c>
      <c r="Z333" s="228"/>
      <c r="AA333" s="228"/>
      <c r="AB333" s="202">
        <v>5232</v>
      </c>
      <c r="AC333" s="202"/>
      <c r="AD333" s="202"/>
      <c r="AE333" s="228"/>
      <c r="AF333" s="240"/>
    </row>
    <row r="334" spans="1:32" s="232" customFormat="1">
      <c r="A334" s="241" t="s">
        <v>201</v>
      </c>
      <c r="B334" s="281" t="s">
        <v>539</v>
      </c>
      <c r="C334" s="241">
        <v>199157</v>
      </c>
      <c r="D334" s="375">
        <v>3</v>
      </c>
      <c r="E334" s="225">
        <f t="shared" si="22"/>
        <v>178784</v>
      </c>
      <c r="F334" s="229">
        <f t="shared" si="23"/>
        <v>176650</v>
      </c>
      <c r="G334" s="226">
        <v>167103</v>
      </c>
      <c r="H334" s="201">
        <v>166366</v>
      </c>
      <c r="I334" s="226">
        <v>3811</v>
      </c>
      <c r="J334" s="201">
        <v>3339</v>
      </c>
      <c r="K334" s="228">
        <v>7870</v>
      </c>
      <c r="L334" s="228"/>
      <c r="M334" s="228"/>
      <c r="N334" s="201">
        <v>6945</v>
      </c>
      <c r="O334" s="201">
        <v>0</v>
      </c>
      <c r="P334" s="201"/>
      <c r="Q334" s="228"/>
      <c r="R334" s="201"/>
      <c r="S334" s="225">
        <f t="shared" si="24"/>
        <v>39309</v>
      </c>
      <c r="T334" s="229">
        <f t="shared" si="25"/>
        <v>41387</v>
      </c>
      <c r="U334" s="226">
        <v>33018</v>
      </c>
      <c r="V334" s="201">
        <v>33952</v>
      </c>
      <c r="W334" s="226">
        <v>1801</v>
      </c>
      <c r="X334" s="201">
        <v>2326</v>
      </c>
      <c r="Y334" s="228">
        <v>4436</v>
      </c>
      <c r="Z334" s="228">
        <v>54</v>
      </c>
      <c r="AA334" s="228"/>
      <c r="AB334" s="202">
        <v>5100</v>
      </c>
      <c r="AC334" s="202">
        <v>9</v>
      </c>
      <c r="AD334" s="202"/>
      <c r="AE334" s="228"/>
      <c r="AF334" s="240"/>
    </row>
    <row r="335" spans="1:32" s="232" customFormat="1">
      <c r="A335" s="241" t="s">
        <v>201</v>
      </c>
      <c r="B335" s="281" t="s">
        <v>540</v>
      </c>
      <c r="C335" s="241">
        <v>199218</v>
      </c>
      <c r="D335" s="375">
        <v>3</v>
      </c>
      <c r="E335" s="225">
        <f t="shared" si="22"/>
        <v>318739</v>
      </c>
      <c r="F335" s="229">
        <f t="shared" si="23"/>
        <v>326611</v>
      </c>
      <c r="G335" s="226">
        <v>290211</v>
      </c>
      <c r="H335" s="201">
        <v>292372</v>
      </c>
      <c r="I335" s="226">
        <v>2581</v>
      </c>
      <c r="J335" s="201">
        <v>2072</v>
      </c>
      <c r="K335" s="228">
        <v>25947</v>
      </c>
      <c r="L335" s="228"/>
      <c r="M335" s="228"/>
      <c r="N335" s="201">
        <v>32167</v>
      </c>
      <c r="O335" s="201">
        <v>0</v>
      </c>
      <c r="P335" s="201"/>
      <c r="Q335" s="228"/>
      <c r="R335" s="201"/>
      <c r="S335" s="225">
        <f t="shared" si="24"/>
        <v>17680</v>
      </c>
      <c r="T335" s="229">
        <f t="shared" si="25"/>
        <v>20330</v>
      </c>
      <c r="U335" s="226">
        <v>14666</v>
      </c>
      <c r="V335" s="201">
        <v>14914</v>
      </c>
      <c r="W335" s="226">
        <v>428</v>
      </c>
      <c r="X335" s="201">
        <v>555</v>
      </c>
      <c r="Y335" s="228">
        <v>2586</v>
      </c>
      <c r="Z335" s="228"/>
      <c r="AA335" s="228"/>
      <c r="AB335" s="202">
        <v>4861</v>
      </c>
      <c r="AC335" s="202"/>
      <c r="AD335" s="202"/>
      <c r="AE335" s="228"/>
      <c r="AF335" s="240"/>
    </row>
    <row r="336" spans="1:32" s="232" customFormat="1">
      <c r="A336" s="241" t="s">
        <v>201</v>
      </c>
      <c r="B336" s="281" t="s">
        <v>541</v>
      </c>
      <c r="C336" s="241">
        <v>200004</v>
      </c>
      <c r="D336" s="375">
        <v>3</v>
      </c>
      <c r="E336" s="225">
        <f t="shared" si="22"/>
        <v>202228</v>
      </c>
      <c r="F336" s="229">
        <f t="shared" si="23"/>
        <v>199982</v>
      </c>
      <c r="G336" s="226">
        <v>183501</v>
      </c>
      <c r="H336" s="201">
        <v>176616</v>
      </c>
      <c r="I336" s="226">
        <v>7916</v>
      </c>
      <c r="J336" s="201">
        <v>7671</v>
      </c>
      <c r="K336" s="228">
        <v>10439</v>
      </c>
      <c r="L336" s="228">
        <v>372</v>
      </c>
      <c r="M336" s="228"/>
      <c r="N336" s="201">
        <v>15479</v>
      </c>
      <c r="O336" s="201">
        <v>216</v>
      </c>
      <c r="P336" s="201"/>
      <c r="Q336" s="228"/>
      <c r="R336" s="201"/>
      <c r="S336" s="225">
        <f t="shared" si="24"/>
        <v>29590</v>
      </c>
      <c r="T336" s="229">
        <f t="shared" si="25"/>
        <v>31504</v>
      </c>
      <c r="U336" s="226">
        <v>11232</v>
      </c>
      <c r="V336" s="201">
        <v>11257</v>
      </c>
      <c r="W336" s="226">
        <v>8448</v>
      </c>
      <c r="X336" s="201">
        <v>7481</v>
      </c>
      <c r="Y336" s="228">
        <v>9599</v>
      </c>
      <c r="Z336" s="228">
        <v>311</v>
      </c>
      <c r="AA336" s="228"/>
      <c r="AB336" s="202">
        <v>12562</v>
      </c>
      <c r="AC336" s="202">
        <v>204</v>
      </c>
      <c r="AD336" s="202"/>
      <c r="AE336" s="228"/>
      <c r="AF336" s="240"/>
    </row>
    <row r="337" spans="1:32" s="232" customFormat="1">
      <c r="A337" s="241" t="s">
        <v>201</v>
      </c>
      <c r="B337" s="281" t="s">
        <v>542</v>
      </c>
      <c r="C337" s="241">
        <v>198543</v>
      </c>
      <c r="D337" s="375">
        <v>4</v>
      </c>
      <c r="E337" s="225">
        <f t="shared" si="22"/>
        <v>173557</v>
      </c>
      <c r="F337" s="229">
        <f t="shared" si="23"/>
        <v>167410</v>
      </c>
      <c r="G337" s="226">
        <v>143095</v>
      </c>
      <c r="H337" s="201">
        <v>139007</v>
      </c>
      <c r="I337" s="226">
        <v>8244</v>
      </c>
      <c r="J337" s="201">
        <v>11697</v>
      </c>
      <c r="K337" s="228">
        <v>22218</v>
      </c>
      <c r="L337" s="228"/>
      <c r="M337" s="228"/>
      <c r="N337" s="201">
        <v>16538</v>
      </c>
      <c r="O337" s="201">
        <v>168</v>
      </c>
      <c r="P337" s="201"/>
      <c r="Q337" s="228"/>
      <c r="R337" s="201"/>
      <c r="S337" s="225">
        <f t="shared" si="24"/>
        <v>12728</v>
      </c>
      <c r="T337" s="229">
        <f t="shared" si="25"/>
        <v>11314</v>
      </c>
      <c r="U337" s="226">
        <v>6996</v>
      </c>
      <c r="V337" s="201">
        <v>7036</v>
      </c>
      <c r="W337" s="226">
        <v>1062</v>
      </c>
      <c r="X337" s="201">
        <v>2151</v>
      </c>
      <c r="Y337" s="228">
        <v>4670</v>
      </c>
      <c r="Z337" s="228"/>
      <c r="AA337" s="228"/>
      <c r="AB337" s="202">
        <v>2127</v>
      </c>
      <c r="AC337" s="202"/>
      <c r="AD337" s="202"/>
      <c r="AE337" s="228"/>
      <c r="AF337" s="240"/>
    </row>
    <row r="338" spans="1:32" s="232" customFormat="1">
      <c r="A338" s="241" t="s">
        <v>201</v>
      </c>
      <c r="B338" s="281" t="s">
        <v>543</v>
      </c>
      <c r="C338" s="241">
        <v>199281</v>
      </c>
      <c r="D338" s="375">
        <v>5</v>
      </c>
      <c r="E338" s="225">
        <f t="shared" si="22"/>
        <v>139000</v>
      </c>
      <c r="F338" s="229">
        <f t="shared" si="23"/>
        <v>146932</v>
      </c>
      <c r="G338" s="226">
        <v>118933</v>
      </c>
      <c r="H338" s="201">
        <v>120014</v>
      </c>
      <c r="I338" s="226">
        <v>3674</v>
      </c>
      <c r="J338" s="201">
        <v>3232</v>
      </c>
      <c r="K338" s="228">
        <v>16322</v>
      </c>
      <c r="L338" s="228">
        <v>71</v>
      </c>
      <c r="M338" s="228"/>
      <c r="N338" s="201">
        <v>23527</v>
      </c>
      <c r="O338" s="201">
        <v>159</v>
      </c>
      <c r="P338" s="201"/>
      <c r="Q338" s="228"/>
      <c r="R338" s="201"/>
      <c r="S338" s="225">
        <f t="shared" si="24"/>
        <v>9022</v>
      </c>
      <c r="T338" s="229">
        <f t="shared" si="25"/>
        <v>10095</v>
      </c>
      <c r="U338" s="226">
        <v>4826</v>
      </c>
      <c r="V338" s="201">
        <v>4857</v>
      </c>
      <c r="W338" s="226">
        <v>1370</v>
      </c>
      <c r="X338" s="201">
        <v>1172</v>
      </c>
      <c r="Y338" s="228">
        <v>2826</v>
      </c>
      <c r="Z338" s="228"/>
      <c r="AA338" s="228"/>
      <c r="AB338" s="202">
        <v>4066</v>
      </c>
      <c r="AC338" s="202"/>
      <c r="AD338" s="202"/>
      <c r="AE338" s="228"/>
      <c r="AF338" s="240"/>
    </row>
    <row r="339" spans="1:32" s="232" customFormat="1">
      <c r="A339" s="241" t="s">
        <v>201</v>
      </c>
      <c r="B339" s="281" t="s">
        <v>544</v>
      </c>
      <c r="C339" s="241">
        <v>199999</v>
      </c>
      <c r="D339" s="375">
        <v>5</v>
      </c>
      <c r="E339" s="225">
        <f t="shared" si="22"/>
        <v>158654</v>
      </c>
      <c r="F339" s="229">
        <f t="shared" si="23"/>
        <v>167793</v>
      </c>
      <c r="G339" s="226">
        <v>141926</v>
      </c>
      <c r="H339" s="201">
        <v>145488</v>
      </c>
      <c r="I339" s="226">
        <v>9750</v>
      </c>
      <c r="J339" s="201">
        <v>10750</v>
      </c>
      <c r="K339" s="228">
        <v>6978</v>
      </c>
      <c r="L339" s="228"/>
      <c r="M339" s="228"/>
      <c r="N339" s="201">
        <v>11555</v>
      </c>
      <c r="O339" s="201">
        <v>0</v>
      </c>
      <c r="P339" s="201"/>
      <c r="Q339" s="228"/>
      <c r="R339" s="201"/>
      <c r="S339" s="225">
        <f t="shared" si="24"/>
        <v>7979</v>
      </c>
      <c r="T339" s="229">
        <f t="shared" si="25"/>
        <v>9011</v>
      </c>
      <c r="U339" s="226">
        <v>6867</v>
      </c>
      <c r="V339" s="201">
        <v>7233</v>
      </c>
      <c r="W339" s="226">
        <v>850</v>
      </c>
      <c r="X339" s="201">
        <v>552</v>
      </c>
      <c r="Y339" s="228">
        <v>214</v>
      </c>
      <c r="Z339" s="228">
        <v>48</v>
      </c>
      <c r="AA339" s="228"/>
      <c r="AB339" s="202">
        <v>873</v>
      </c>
      <c r="AC339" s="202">
        <v>353</v>
      </c>
      <c r="AD339" s="202"/>
      <c r="AE339" s="228"/>
      <c r="AF339" s="240"/>
    </row>
    <row r="340" spans="1:32" s="232" customFormat="1">
      <c r="A340" s="241" t="s">
        <v>201</v>
      </c>
      <c r="B340" s="281" t="s">
        <v>545</v>
      </c>
      <c r="C340" s="241">
        <v>198507</v>
      </c>
      <c r="D340" s="375">
        <v>6</v>
      </c>
      <c r="E340" s="225">
        <f t="shared" si="22"/>
        <v>85447</v>
      </c>
      <c r="F340" s="229">
        <f t="shared" si="23"/>
        <v>89121</v>
      </c>
      <c r="G340" s="226">
        <v>79373</v>
      </c>
      <c r="H340" s="201">
        <v>81574</v>
      </c>
      <c r="I340" s="226">
        <v>636</v>
      </c>
      <c r="J340" s="201">
        <v>4347</v>
      </c>
      <c r="K340" s="228">
        <v>5438</v>
      </c>
      <c r="L340" s="228"/>
      <c r="M340" s="228"/>
      <c r="N340" s="201">
        <v>3200</v>
      </c>
      <c r="O340" s="201">
        <v>0</v>
      </c>
      <c r="P340" s="201"/>
      <c r="Q340" s="228"/>
      <c r="R340" s="201"/>
      <c r="S340" s="225">
        <f t="shared" si="24"/>
        <v>1348</v>
      </c>
      <c r="T340" s="229">
        <f t="shared" si="25"/>
        <v>881</v>
      </c>
      <c r="U340" s="226">
        <v>1228</v>
      </c>
      <c r="V340" s="201">
        <v>647</v>
      </c>
      <c r="W340" s="226"/>
      <c r="X340" s="201">
        <v>0</v>
      </c>
      <c r="Y340" s="228">
        <v>120</v>
      </c>
      <c r="Z340" s="228"/>
      <c r="AA340" s="228"/>
      <c r="AB340" s="202">
        <v>234</v>
      </c>
      <c r="AC340" s="202"/>
      <c r="AD340" s="202"/>
      <c r="AE340" s="228"/>
      <c r="AF340" s="240"/>
    </row>
    <row r="341" spans="1:32" s="232" customFormat="1">
      <c r="A341" s="241" t="s">
        <v>201</v>
      </c>
      <c r="B341" s="281" t="s">
        <v>546</v>
      </c>
      <c r="C341" s="241">
        <v>199111</v>
      </c>
      <c r="D341" s="375">
        <v>6</v>
      </c>
      <c r="E341" s="225">
        <f t="shared" si="22"/>
        <v>94931</v>
      </c>
      <c r="F341" s="229">
        <f t="shared" si="23"/>
        <v>93021</v>
      </c>
      <c r="G341" s="226">
        <v>93567</v>
      </c>
      <c r="H341" s="201">
        <v>91545</v>
      </c>
      <c r="I341" s="226">
        <v>1169</v>
      </c>
      <c r="J341" s="201">
        <v>1366</v>
      </c>
      <c r="K341" s="228"/>
      <c r="L341" s="228">
        <v>195</v>
      </c>
      <c r="M341" s="228"/>
      <c r="N341" s="201">
        <v>0</v>
      </c>
      <c r="O341" s="201">
        <v>110</v>
      </c>
      <c r="P341" s="201"/>
      <c r="Q341" s="228"/>
      <c r="R341" s="201"/>
      <c r="S341" s="225">
        <f t="shared" si="24"/>
        <v>276</v>
      </c>
      <c r="T341" s="229">
        <f t="shared" si="25"/>
        <v>290</v>
      </c>
      <c r="U341" s="226">
        <v>276</v>
      </c>
      <c r="V341" s="201">
        <v>290</v>
      </c>
      <c r="W341" s="226"/>
      <c r="X341" s="201">
        <v>0</v>
      </c>
      <c r="Y341" s="228"/>
      <c r="Z341" s="228"/>
      <c r="AA341" s="228"/>
      <c r="AB341" s="202">
        <v>0</v>
      </c>
      <c r="AC341" s="202"/>
      <c r="AD341" s="202"/>
      <c r="AE341" s="228"/>
      <c r="AF341" s="240"/>
    </row>
    <row r="342" spans="1:32" s="232" customFormat="1">
      <c r="A342" s="222" t="s">
        <v>201</v>
      </c>
      <c r="B342" s="223" t="s">
        <v>476</v>
      </c>
      <c r="C342" s="222">
        <v>197887</v>
      </c>
      <c r="D342" s="224">
        <v>8</v>
      </c>
      <c r="E342" s="225">
        <f t="shared" si="22"/>
        <v>196744.50000000003</v>
      </c>
      <c r="F342" s="229">
        <f t="shared" si="23"/>
        <v>207780</v>
      </c>
      <c r="G342" s="226">
        <v>156092.70000000001</v>
      </c>
      <c r="H342" s="227">
        <v>151408.20000000001</v>
      </c>
      <c r="I342" s="226">
        <v>26515.200000000001</v>
      </c>
      <c r="J342" s="221">
        <v>27456.300000000003</v>
      </c>
      <c r="K342" s="228">
        <v>11268</v>
      </c>
      <c r="L342" s="228">
        <v>528.9</v>
      </c>
      <c r="M342" s="228">
        <v>2339.6999999999998</v>
      </c>
      <c r="N342" s="221">
        <v>16544.400000000001</v>
      </c>
      <c r="O342" s="221">
        <v>163.20000000000002</v>
      </c>
      <c r="P342" s="221">
        <v>12207.9</v>
      </c>
      <c r="Q342" s="228"/>
      <c r="R342" s="227"/>
      <c r="S342" s="225">
        <f t="shared" si="24"/>
        <v>0</v>
      </c>
      <c r="T342" s="229">
        <f t="shared" si="25"/>
        <v>0</v>
      </c>
      <c r="U342" s="226"/>
      <c r="V342" s="227"/>
      <c r="W342" s="226"/>
      <c r="X342" s="227"/>
      <c r="Y342" s="228"/>
      <c r="Z342" s="228"/>
      <c r="AA342" s="228"/>
      <c r="AB342" s="230"/>
      <c r="AC342" s="230"/>
      <c r="AD342" s="230"/>
      <c r="AE342" s="228"/>
      <c r="AF342" s="231"/>
    </row>
    <row r="343" spans="1:32" s="232" customFormat="1">
      <c r="A343" s="222" t="s">
        <v>201</v>
      </c>
      <c r="B343" s="223" t="s">
        <v>482</v>
      </c>
      <c r="C343" s="222">
        <v>198154</v>
      </c>
      <c r="D343" s="238">
        <v>8</v>
      </c>
      <c r="E343" s="225">
        <f t="shared" si="22"/>
        <v>224492.7</v>
      </c>
      <c r="F343" s="229">
        <f t="shared" si="23"/>
        <v>245160.00000000003</v>
      </c>
      <c r="G343" s="226">
        <v>183891</v>
      </c>
      <c r="H343" s="227">
        <v>191159.1</v>
      </c>
      <c r="I343" s="226">
        <v>21521.1</v>
      </c>
      <c r="J343" s="221">
        <v>23803.800000000003</v>
      </c>
      <c r="K343" s="228">
        <v>15697.2</v>
      </c>
      <c r="L343" s="228">
        <v>0</v>
      </c>
      <c r="M343" s="228">
        <v>3383.4</v>
      </c>
      <c r="N343" s="221">
        <v>20349.599999999999</v>
      </c>
      <c r="O343" s="221">
        <v>0</v>
      </c>
      <c r="P343" s="221">
        <v>9847.5</v>
      </c>
      <c r="Q343" s="228"/>
      <c r="R343" s="227"/>
      <c r="S343" s="225">
        <f t="shared" si="24"/>
        <v>0</v>
      </c>
      <c r="T343" s="229">
        <f t="shared" si="25"/>
        <v>0</v>
      </c>
      <c r="U343" s="226"/>
      <c r="V343" s="227"/>
      <c r="W343" s="226"/>
      <c r="X343" s="227"/>
      <c r="Y343" s="228"/>
      <c r="Z343" s="228"/>
      <c r="AA343" s="228"/>
      <c r="AB343" s="230"/>
      <c r="AC343" s="230"/>
      <c r="AD343" s="230"/>
      <c r="AE343" s="228"/>
      <c r="AF343" s="231"/>
    </row>
    <row r="344" spans="1:32" s="232" customFormat="1">
      <c r="A344" s="222" t="s">
        <v>201</v>
      </c>
      <c r="B344" s="223" t="s">
        <v>484</v>
      </c>
      <c r="C344" s="222">
        <v>198233</v>
      </c>
      <c r="D344" s="235">
        <v>8</v>
      </c>
      <c r="E344" s="225">
        <f t="shared" si="22"/>
        <v>160696.79999999999</v>
      </c>
      <c r="F344" s="229">
        <f t="shared" si="23"/>
        <v>160080.00000000003</v>
      </c>
      <c r="G344" s="226">
        <v>107512.2</v>
      </c>
      <c r="H344" s="227">
        <v>105951.6</v>
      </c>
      <c r="I344" s="226">
        <v>18529.8</v>
      </c>
      <c r="J344" s="221">
        <v>18716.099999999999</v>
      </c>
      <c r="K344" s="228">
        <v>18144.3</v>
      </c>
      <c r="L344" s="228">
        <v>1832.7</v>
      </c>
      <c r="M344" s="228">
        <v>14677.8</v>
      </c>
      <c r="N344" s="221">
        <v>20279.399999999998</v>
      </c>
      <c r="O344" s="221">
        <v>2080.2000000000003</v>
      </c>
      <c r="P344" s="221">
        <v>13052.699999999999</v>
      </c>
      <c r="Q344" s="228"/>
      <c r="R344" s="227"/>
      <c r="S344" s="225">
        <f t="shared" si="24"/>
        <v>0</v>
      </c>
      <c r="T344" s="229">
        <f t="shared" si="25"/>
        <v>0</v>
      </c>
      <c r="U344" s="226"/>
      <c r="V344" s="227"/>
      <c r="W344" s="226"/>
      <c r="X344" s="227"/>
      <c r="Y344" s="228"/>
      <c r="Z344" s="228"/>
      <c r="AA344" s="228"/>
      <c r="AB344" s="230"/>
      <c r="AC344" s="230"/>
      <c r="AD344" s="230"/>
      <c r="AE344" s="228"/>
      <c r="AF344" s="231"/>
    </row>
    <row r="345" spans="1:32" s="232" customFormat="1">
      <c r="A345" s="222" t="s">
        <v>201</v>
      </c>
      <c r="B345" s="223" t="s">
        <v>485</v>
      </c>
      <c r="C345" s="222">
        <v>198251</v>
      </c>
      <c r="D345" s="224">
        <v>8</v>
      </c>
      <c r="E345" s="225">
        <f t="shared" si="22"/>
        <v>167371.19999999998</v>
      </c>
      <c r="F345" s="229">
        <f t="shared" si="23"/>
        <v>169530</v>
      </c>
      <c r="G345" s="226">
        <v>88140.3</v>
      </c>
      <c r="H345" s="227">
        <v>90788.400000000009</v>
      </c>
      <c r="I345" s="226">
        <v>56265</v>
      </c>
      <c r="J345" s="221">
        <v>50486.1</v>
      </c>
      <c r="K345" s="228">
        <v>19758.3</v>
      </c>
      <c r="L345" s="228">
        <v>0</v>
      </c>
      <c r="M345" s="228">
        <v>3207.6</v>
      </c>
      <c r="N345" s="221">
        <v>23311.800000000003</v>
      </c>
      <c r="O345" s="221">
        <v>0</v>
      </c>
      <c r="P345" s="221">
        <v>4943.7</v>
      </c>
      <c r="Q345" s="228"/>
      <c r="R345" s="227"/>
      <c r="S345" s="225">
        <f t="shared" si="24"/>
        <v>0</v>
      </c>
      <c r="T345" s="229">
        <f t="shared" si="25"/>
        <v>0</v>
      </c>
      <c r="U345" s="226"/>
      <c r="V345" s="227"/>
      <c r="W345" s="226"/>
      <c r="X345" s="227"/>
      <c r="Y345" s="228"/>
      <c r="Z345" s="228"/>
      <c r="AA345" s="228"/>
      <c r="AB345" s="230"/>
      <c r="AC345" s="230"/>
      <c r="AD345" s="230"/>
      <c r="AE345" s="228"/>
      <c r="AF345" s="231"/>
    </row>
    <row r="346" spans="1:32" s="232" customFormat="1">
      <c r="A346" s="222" t="s">
        <v>201</v>
      </c>
      <c r="B346" s="223" t="s">
        <v>486</v>
      </c>
      <c r="C346" s="222">
        <v>198260</v>
      </c>
      <c r="D346" s="235">
        <v>8</v>
      </c>
      <c r="E346" s="225">
        <f t="shared" si="22"/>
        <v>464756.39999999997</v>
      </c>
      <c r="F346" s="229">
        <f t="shared" si="23"/>
        <v>488160</v>
      </c>
      <c r="G346" s="226">
        <v>353339.7</v>
      </c>
      <c r="H346" s="227">
        <v>366082.8</v>
      </c>
      <c r="I346" s="226">
        <v>29958.6</v>
      </c>
      <c r="J346" s="221">
        <v>27890.400000000001</v>
      </c>
      <c r="K346" s="228">
        <v>65610.899999999994</v>
      </c>
      <c r="L346" s="228">
        <v>0</v>
      </c>
      <c r="M346" s="228">
        <v>15847.2</v>
      </c>
      <c r="N346" s="221">
        <v>70773</v>
      </c>
      <c r="O346" s="221">
        <v>0</v>
      </c>
      <c r="P346" s="221">
        <v>23413.800000000003</v>
      </c>
      <c r="Q346" s="228"/>
      <c r="R346" s="227"/>
      <c r="S346" s="225">
        <f t="shared" si="24"/>
        <v>0</v>
      </c>
      <c r="T346" s="229">
        <f t="shared" si="25"/>
        <v>0</v>
      </c>
      <c r="U346" s="226"/>
      <c r="V346" s="227"/>
      <c r="W346" s="226"/>
      <c r="X346" s="227"/>
      <c r="Y346" s="228"/>
      <c r="Z346" s="228"/>
      <c r="AA346" s="228"/>
      <c r="AB346" s="230"/>
      <c r="AC346" s="230"/>
      <c r="AD346" s="230"/>
      <c r="AE346" s="228"/>
      <c r="AF346" s="231"/>
    </row>
    <row r="347" spans="1:32" s="232" customFormat="1">
      <c r="A347" s="222" t="s">
        <v>201</v>
      </c>
      <c r="B347" s="236" t="s">
        <v>492</v>
      </c>
      <c r="C347" s="234">
        <v>198455</v>
      </c>
      <c r="D347" s="239">
        <v>8</v>
      </c>
      <c r="E347" s="225">
        <f t="shared" si="22"/>
        <v>154942.20000000001</v>
      </c>
      <c r="F347" s="229">
        <f t="shared" si="23"/>
        <v>154560</v>
      </c>
      <c r="G347" s="226">
        <v>114668.7</v>
      </c>
      <c r="H347" s="227">
        <v>106779.6</v>
      </c>
      <c r="I347" s="226">
        <v>23612.400000000001</v>
      </c>
      <c r="J347" s="221">
        <v>27385.8</v>
      </c>
      <c r="K347" s="228">
        <v>11020.2</v>
      </c>
      <c r="L347" s="228">
        <v>0</v>
      </c>
      <c r="M347" s="228">
        <v>5640.9</v>
      </c>
      <c r="N347" s="221">
        <v>14270.099999999999</v>
      </c>
      <c r="O347" s="221">
        <v>0</v>
      </c>
      <c r="P347" s="221">
        <v>6124.5</v>
      </c>
      <c r="Q347" s="228"/>
      <c r="R347" s="227"/>
      <c r="S347" s="225">
        <f t="shared" si="24"/>
        <v>0</v>
      </c>
      <c r="T347" s="229">
        <f t="shared" si="25"/>
        <v>0</v>
      </c>
      <c r="U347" s="226"/>
      <c r="V347" s="227"/>
      <c r="W347" s="226"/>
      <c r="X347" s="227"/>
      <c r="Y347" s="228"/>
      <c r="Z347" s="228"/>
      <c r="AA347" s="228"/>
      <c r="AB347" s="230"/>
      <c r="AC347" s="230"/>
      <c r="AD347" s="230"/>
      <c r="AE347" s="228"/>
      <c r="AF347" s="231"/>
    </row>
    <row r="348" spans="1:32" s="232" customFormat="1">
      <c r="A348" s="222" t="s">
        <v>201</v>
      </c>
      <c r="B348" s="223" t="s">
        <v>494</v>
      </c>
      <c r="C348" s="222">
        <v>198534</v>
      </c>
      <c r="D348" s="224">
        <v>8</v>
      </c>
      <c r="E348" s="225">
        <f t="shared" si="22"/>
        <v>340365.30000000005</v>
      </c>
      <c r="F348" s="229">
        <f t="shared" si="23"/>
        <v>350580</v>
      </c>
      <c r="G348" s="226">
        <v>226809.60000000001</v>
      </c>
      <c r="H348" s="227">
        <v>223904.7</v>
      </c>
      <c r="I348" s="226">
        <v>43653.599999999999</v>
      </c>
      <c r="J348" s="221">
        <v>46133.7</v>
      </c>
      <c r="K348" s="228">
        <v>66352.5</v>
      </c>
      <c r="L348" s="228">
        <v>1193.7</v>
      </c>
      <c r="M348" s="228">
        <v>2355.9</v>
      </c>
      <c r="N348" s="221">
        <v>77834.100000000006</v>
      </c>
      <c r="O348" s="221">
        <v>914.09999999999991</v>
      </c>
      <c r="P348" s="221">
        <v>1793.4</v>
      </c>
      <c r="Q348" s="228"/>
      <c r="R348" s="227"/>
      <c r="S348" s="225">
        <f t="shared" si="24"/>
        <v>0</v>
      </c>
      <c r="T348" s="229">
        <f t="shared" si="25"/>
        <v>0</v>
      </c>
      <c r="U348" s="226"/>
      <c r="V348" s="227"/>
      <c r="W348" s="226"/>
      <c r="X348" s="227"/>
      <c r="Y348" s="228"/>
      <c r="Z348" s="228"/>
      <c r="AA348" s="228"/>
      <c r="AB348" s="230"/>
      <c r="AC348" s="230"/>
      <c r="AD348" s="230"/>
      <c r="AE348" s="228"/>
      <c r="AF348" s="231"/>
    </row>
    <row r="349" spans="1:32" s="232" customFormat="1">
      <c r="A349" s="222" t="s">
        <v>201</v>
      </c>
      <c r="B349" s="223" t="s">
        <v>495</v>
      </c>
      <c r="C349" s="222">
        <v>198552</v>
      </c>
      <c r="D349" s="224">
        <v>8</v>
      </c>
      <c r="E349" s="225">
        <f t="shared" si="22"/>
        <v>215979</v>
      </c>
      <c r="F349" s="229">
        <f t="shared" si="23"/>
        <v>239159.99999999994</v>
      </c>
      <c r="G349" s="226">
        <v>145668.9</v>
      </c>
      <c r="H349" s="227">
        <v>148452.29999999999</v>
      </c>
      <c r="I349" s="226">
        <v>29274.3</v>
      </c>
      <c r="J349" s="221">
        <v>40991.4</v>
      </c>
      <c r="K349" s="228">
        <v>29686.5</v>
      </c>
      <c r="L349" s="228">
        <v>698.7</v>
      </c>
      <c r="M349" s="228">
        <v>10650.6</v>
      </c>
      <c r="N349" s="221">
        <v>36592.199999999997</v>
      </c>
      <c r="O349" s="221">
        <v>874.8</v>
      </c>
      <c r="P349" s="221">
        <v>12249.3</v>
      </c>
      <c r="Q349" s="228"/>
      <c r="R349" s="227"/>
      <c r="S349" s="225">
        <f t="shared" si="24"/>
        <v>0</v>
      </c>
      <c r="T349" s="229">
        <f t="shared" si="25"/>
        <v>0</v>
      </c>
      <c r="U349" s="226"/>
      <c r="V349" s="227"/>
      <c r="W349" s="226"/>
      <c r="X349" s="227"/>
      <c r="Y349" s="228"/>
      <c r="Z349" s="228"/>
      <c r="AA349" s="228"/>
      <c r="AB349" s="230"/>
      <c r="AC349" s="230"/>
      <c r="AD349" s="230"/>
      <c r="AE349" s="228"/>
      <c r="AF349" s="231"/>
    </row>
    <row r="350" spans="1:32" s="232" customFormat="1">
      <c r="A350" s="222" t="s">
        <v>201</v>
      </c>
      <c r="B350" s="223" t="s">
        <v>497</v>
      </c>
      <c r="C350" s="222">
        <v>198622</v>
      </c>
      <c r="D350" s="224">
        <v>8</v>
      </c>
      <c r="E350" s="225">
        <f t="shared" si="22"/>
        <v>312129.90000000002</v>
      </c>
      <c r="F350" s="229">
        <f t="shared" si="23"/>
        <v>337229.99999999994</v>
      </c>
      <c r="G350" s="226">
        <v>267340.5</v>
      </c>
      <c r="H350" s="227">
        <v>282759.3</v>
      </c>
      <c r="I350" s="226">
        <v>20179.2</v>
      </c>
      <c r="J350" s="221">
        <v>24270.6</v>
      </c>
      <c r="K350" s="228">
        <v>21227.7</v>
      </c>
      <c r="L350" s="228">
        <v>0</v>
      </c>
      <c r="M350" s="228">
        <v>3382.5</v>
      </c>
      <c r="N350" s="221">
        <v>26346.600000000002</v>
      </c>
      <c r="O350" s="221">
        <v>0</v>
      </c>
      <c r="P350" s="221">
        <v>3853.4999999999995</v>
      </c>
      <c r="Q350" s="228"/>
      <c r="R350" s="227"/>
      <c r="S350" s="225">
        <f t="shared" si="24"/>
        <v>0</v>
      </c>
      <c r="T350" s="229">
        <f t="shared" si="25"/>
        <v>0</v>
      </c>
      <c r="U350" s="226"/>
      <c r="V350" s="227"/>
      <c r="W350" s="226"/>
      <c r="X350" s="227"/>
      <c r="Y350" s="228"/>
      <c r="Z350" s="228"/>
      <c r="AA350" s="228"/>
      <c r="AB350" s="230"/>
      <c r="AC350" s="230"/>
      <c r="AD350" s="230"/>
      <c r="AE350" s="228"/>
      <c r="AF350" s="231"/>
    </row>
    <row r="351" spans="1:32" s="232" customFormat="1">
      <c r="A351" s="222" t="s">
        <v>201</v>
      </c>
      <c r="B351" s="223" t="s">
        <v>512</v>
      </c>
      <c r="C351" s="222">
        <v>199333</v>
      </c>
      <c r="D351" s="224">
        <v>8</v>
      </c>
      <c r="E351" s="225">
        <f t="shared" si="22"/>
        <v>193347</v>
      </c>
      <c r="F351" s="229">
        <f t="shared" si="23"/>
        <v>206550</v>
      </c>
      <c r="G351" s="226">
        <v>129927.9</v>
      </c>
      <c r="H351" s="227">
        <v>133206.90000000002</v>
      </c>
      <c r="I351" s="226">
        <v>31638</v>
      </c>
      <c r="J351" s="221">
        <v>32379.899999999998</v>
      </c>
      <c r="K351" s="228">
        <v>23623.5</v>
      </c>
      <c r="L351" s="228">
        <v>0</v>
      </c>
      <c r="M351" s="228">
        <v>8157.6</v>
      </c>
      <c r="N351" s="221">
        <v>28432.799999999999</v>
      </c>
      <c r="O351" s="221">
        <v>0</v>
      </c>
      <c r="P351" s="221">
        <v>12530.4</v>
      </c>
      <c r="Q351" s="228"/>
      <c r="R351" s="227"/>
      <c r="S351" s="225">
        <f t="shared" si="24"/>
        <v>0</v>
      </c>
      <c r="T351" s="229">
        <f t="shared" si="25"/>
        <v>0</v>
      </c>
      <c r="U351" s="226"/>
      <c r="V351" s="227"/>
      <c r="W351" s="226"/>
      <c r="X351" s="227"/>
      <c r="Y351" s="228"/>
      <c r="Z351" s="228"/>
      <c r="AA351" s="228"/>
      <c r="AB351" s="230"/>
      <c r="AC351" s="230"/>
      <c r="AD351" s="230"/>
      <c r="AE351" s="228"/>
      <c r="AF351" s="231"/>
    </row>
    <row r="352" spans="1:32" s="232" customFormat="1">
      <c r="A352" s="222" t="s">
        <v>201</v>
      </c>
      <c r="B352" s="233" t="s">
        <v>518</v>
      </c>
      <c r="C352" s="234">
        <v>199494</v>
      </c>
      <c r="D352" s="237">
        <v>8</v>
      </c>
      <c r="E352" s="225">
        <f t="shared" si="22"/>
        <v>163654.79999999999</v>
      </c>
      <c r="F352" s="229">
        <f t="shared" si="23"/>
        <v>174480.00000000003</v>
      </c>
      <c r="G352" s="226">
        <v>127294.2</v>
      </c>
      <c r="H352" s="227">
        <v>130466.1</v>
      </c>
      <c r="I352" s="226">
        <v>22133.4</v>
      </c>
      <c r="J352" s="221">
        <v>21927.600000000002</v>
      </c>
      <c r="K352" s="228">
        <v>8706</v>
      </c>
      <c r="L352" s="228">
        <v>933.9</v>
      </c>
      <c r="M352" s="228">
        <v>4587.3</v>
      </c>
      <c r="N352" s="221">
        <v>11906.699999999999</v>
      </c>
      <c r="O352" s="221">
        <v>748.2</v>
      </c>
      <c r="P352" s="221">
        <v>9431.4</v>
      </c>
      <c r="Q352" s="228"/>
      <c r="R352" s="227"/>
      <c r="S352" s="225">
        <f t="shared" si="24"/>
        <v>0</v>
      </c>
      <c r="T352" s="229">
        <f t="shared" si="25"/>
        <v>0</v>
      </c>
      <c r="U352" s="226"/>
      <c r="V352" s="227"/>
      <c r="W352" s="226"/>
      <c r="X352" s="227"/>
      <c r="Y352" s="228"/>
      <c r="Z352" s="228"/>
      <c r="AA352" s="228"/>
      <c r="AB352" s="230"/>
      <c r="AC352" s="230"/>
      <c r="AD352" s="230"/>
      <c r="AE352" s="228"/>
      <c r="AF352" s="231"/>
    </row>
    <row r="353" spans="1:32" s="232" customFormat="1">
      <c r="A353" s="222" t="s">
        <v>201</v>
      </c>
      <c r="B353" s="223" t="s">
        <v>528</v>
      </c>
      <c r="C353" s="222">
        <v>199856</v>
      </c>
      <c r="D353" s="224">
        <v>8</v>
      </c>
      <c r="E353" s="225">
        <f t="shared" si="22"/>
        <v>391011.3</v>
      </c>
      <c r="F353" s="229">
        <f t="shared" si="23"/>
        <v>429390.00000000006</v>
      </c>
      <c r="G353" s="226">
        <v>254244.6</v>
      </c>
      <c r="H353" s="227">
        <v>279222.30000000005</v>
      </c>
      <c r="I353" s="226">
        <v>85817.1</v>
      </c>
      <c r="J353" s="221">
        <v>76024.799999999988</v>
      </c>
      <c r="K353" s="228">
        <v>36606</v>
      </c>
      <c r="L353" s="228">
        <v>337.5</v>
      </c>
      <c r="M353" s="228">
        <v>14006.1</v>
      </c>
      <c r="N353" s="221">
        <v>56104.799999999996</v>
      </c>
      <c r="O353" s="221">
        <v>86.399999999999991</v>
      </c>
      <c r="P353" s="221">
        <v>17951.7</v>
      </c>
      <c r="Q353" s="228"/>
      <c r="R353" s="227"/>
      <c r="S353" s="225">
        <f t="shared" si="24"/>
        <v>0</v>
      </c>
      <c r="T353" s="229">
        <f t="shared" si="25"/>
        <v>0</v>
      </c>
      <c r="U353" s="226"/>
      <c r="V353" s="227"/>
      <c r="W353" s="226"/>
      <c r="X353" s="227"/>
      <c r="Y353" s="228"/>
      <c r="Z353" s="228"/>
      <c r="AA353" s="228"/>
      <c r="AB353" s="230"/>
      <c r="AC353" s="230"/>
      <c r="AD353" s="230"/>
      <c r="AE353" s="228"/>
      <c r="AF353" s="231"/>
    </row>
    <row r="354" spans="1:32" s="232" customFormat="1">
      <c r="A354" s="222" t="s">
        <v>201</v>
      </c>
      <c r="B354" s="223" t="s">
        <v>475</v>
      </c>
      <c r="C354" s="222">
        <v>199786</v>
      </c>
      <c r="D354" s="235">
        <v>9</v>
      </c>
      <c r="E354" s="225">
        <f t="shared" si="22"/>
        <v>125695.8</v>
      </c>
      <c r="F354" s="229">
        <f t="shared" si="23"/>
        <v>134250</v>
      </c>
      <c r="G354" s="226">
        <v>97229.1</v>
      </c>
      <c r="H354" s="227">
        <v>105939.9</v>
      </c>
      <c r="I354" s="226">
        <v>16972.5</v>
      </c>
      <c r="J354" s="221">
        <v>13856.699999999999</v>
      </c>
      <c r="K354" s="228">
        <v>8845.7999999999993</v>
      </c>
      <c r="L354" s="228">
        <v>0</v>
      </c>
      <c r="M354" s="228">
        <v>2648.4</v>
      </c>
      <c r="N354" s="221">
        <v>10999.8</v>
      </c>
      <c r="O354" s="221">
        <v>0</v>
      </c>
      <c r="P354" s="221">
        <v>3453.6000000000004</v>
      </c>
      <c r="Q354" s="228"/>
      <c r="R354" s="227"/>
      <c r="S354" s="225">
        <f t="shared" si="24"/>
        <v>0</v>
      </c>
      <c r="T354" s="229">
        <f t="shared" si="25"/>
        <v>0</v>
      </c>
      <c r="U354" s="226"/>
      <c r="V354" s="227"/>
      <c r="W354" s="226"/>
      <c r="X354" s="227"/>
      <c r="Y354" s="228"/>
      <c r="Z354" s="228"/>
      <c r="AA354" s="228"/>
      <c r="AB354" s="230"/>
      <c r="AC354" s="230"/>
      <c r="AD354" s="230"/>
      <c r="AE354" s="228"/>
      <c r="AF354" s="231"/>
    </row>
    <row r="355" spans="1:32" s="232" customFormat="1">
      <c r="A355" s="222" t="s">
        <v>201</v>
      </c>
      <c r="B355" s="223" t="s">
        <v>479</v>
      </c>
      <c r="C355" s="222">
        <v>198039</v>
      </c>
      <c r="D355" s="235">
        <v>9</v>
      </c>
      <c r="E355" s="225">
        <f t="shared" si="22"/>
        <v>68154.299999999988</v>
      </c>
      <c r="F355" s="229">
        <f t="shared" si="23"/>
        <v>69180</v>
      </c>
      <c r="G355" s="226">
        <v>45249.599999999999</v>
      </c>
      <c r="H355" s="227">
        <v>44614.799999999996</v>
      </c>
      <c r="I355" s="226">
        <v>11930.4</v>
      </c>
      <c r="J355" s="221">
        <v>11631.900000000001</v>
      </c>
      <c r="K355" s="228">
        <v>5938.2</v>
      </c>
      <c r="L355" s="228">
        <v>598.20000000000005</v>
      </c>
      <c r="M355" s="228">
        <v>4437.8999999999996</v>
      </c>
      <c r="N355" s="221">
        <v>6252.9000000000005</v>
      </c>
      <c r="O355" s="221">
        <v>1070.6999999999998</v>
      </c>
      <c r="P355" s="221">
        <v>5609.7000000000007</v>
      </c>
      <c r="Q355" s="228"/>
      <c r="R355" s="227"/>
      <c r="S355" s="225">
        <f t="shared" si="24"/>
        <v>0</v>
      </c>
      <c r="T355" s="229">
        <f t="shared" si="25"/>
        <v>0</v>
      </c>
      <c r="U355" s="226"/>
      <c r="V355" s="227"/>
      <c r="W355" s="226"/>
      <c r="X355" s="227"/>
      <c r="Y355" s="228"/>
      <c r="Z355" s="228"/>
      <c r="AA355" s="228"/>
      <c r="AB355" s="230"/>
      <c r="AC355" s="230"/>
      <c r="AD355" s="230"/>
      <c r="AE355" s="228"/>
      <c r="AF355" s="231"/>
    </row>
    <row r="356" spans="1:32" s="232" customFormat="1">
      <c r="A356" s="222" t="s">
        <v>201</v>
      </c>
      <c r="B356" s="223" t="s">
        <v>481</v>
      </c>
      <c r="C356" s="222">
        <v>198118</v>
      </c>
      <c r="D356" s="235">
        <v>9</v>
      </c>
      <c r="E356" s="225">
        <f t="shared" si="22"/>
        <v>131234.70000000001</v>
      </c>
      <c r="F356" s="229">
        <f t="shared" si="23"/>
        <v>133349.99999999997</v>
      </c>
      <c r="G356" s="226">
        <v>83610.3</v>
      </c>
      <c r="H356" s="227">
        <v>84826.799999999988</v>
      </c>
      <c r="I356" s="226">
        <v>28646.7</v>
      </c>
      <c r="J356" s="221">
        <v>23864.7</v>
      </c>
      <c r="K356" s="228">
        <v>6978.6</v>
      </c>
      <c r="L356" s="228">
        <v>1007.7</v>
      </c>
      <c r="M356" s="228">
        <v>10991.4</v>
      </c>
      <c r="N356" s="221">
        <v>9598.7999999999993</v>
      </c>
      <c r="O356" s="221">
        <v>918.9</v>
      </c>
      <c r="P356" s="221">
        <v>14140.800000000001</v>
      </c>
      <c r="Q356" s="228"/>
      <c r="R356" s="227"/>
      <c r="S356" s="225">
        <f t="shared" si="24"/>
        <v>0</v>
      </c>
      <c r="T356" s="229">
        <f t="shared" si="25"/>
        <v>0</v>
      </c>
      <c r="U356" s="226"/>
      <c r="V356" s="227"/>
      <c r="W356" s="226"/>
      <c r="X356" s="227"/>
      <c r="Y356" s="228"/>
      <c r="Z356" s="228"/>
      <c r="AA356" s="228"/>
      <c r="AB356" s="230"/>
      <c r="AC356" s="230"/>
      <c r="AD356" s="230"/>
      <c r="AE356" s="228"/>
      <c r="AF356" s="231"/>
    </row>
    <row r="357" spans="1:32" s="232" customFormat="1">
      <c r="A357" s="222" t="s">
        <v>201</v>
      </c>
      <c r="B357" s="223" t="s">
        <v>487</v>
      </c>
      <c r="C357" s="222">
        <v>198321</v>
      </c>
      <c r="D357" s="235">
        <v>9</v>
      </c>
      <c r="E357" s="225">
        <f t="shared" si="22"/>
        <v>95832.9</v>
      </c>
      <c r="F357" s="229">
        <f t="shared" si="23"/>
        <v>98789.999999999985</v>
      </c>
      <c r="G357" s="226">
        <v>57460.800000000003</v>
      </c>
      <c r="H357" s="227">
        <v>57090</v>
      </c>
      <c r="I357" s="226">
        <v>15189.9</v>
      </c>
      <c r="J357" s="221">
        <v>16536.900000000001</v>
      </c>
      <c r="K357" s="228">
        <v>13498.2</v>
      </c>
      <c r="L357" s="228">
        <v>0</v>
      </c>
      <c r="M357" s="228">
        <v>9684</v>
      </c>
      <c r="N357" s="221">
        <v>14378.7</v>
      </c>
      <c r="O357" s="221">
        <v>123.89999999999999</v>
      </c>
      <c r="P357" s="221">
        <v>10660.5</v>
      </c>
      <c r="Q357" s="228"/>
      <c r="R357" s="227"/>
      <c r="S357" s="225">
        <f t="shared" si="24"/>
        <v>0</v>
      </c>
      <c r="T357" s="229">
        <f t="shared" si="25"/>
        <v>0</v>
      </c>
      <c r="U357" s="226"/>
      <c r="V357" s="227"/>
      <c r="W357" s="226"/>
      <c r="X357" s="227"/>
      <c r="Y357" s="228"/>
      <c r="Z357" s="228"/>
      <c r="AA357" s="228"/>
      <c r="AB357" s="230"/>
      <c r="AC357" s="230"/>
      <c r="AD357" s="230"/>
      <c r="AE357" s="228"/>
      <c r="AF357" s="231"/>
    </row>
    <row r="358" spans="1:32" s="232" customFormat="1">
      <c r="A358" s="222" t="s">
        <v>201</v>
      </c>
      <c r="B358" s="279" t="s">
        <v>488</v>
      </c>
      <c r="C358" s="222">
        <v>198330</v>
      </c>
      <c r="D358" s="235">
        <v>9</v>
      </c>
      <c r="E358" s="225">
        <f t="shared" si="22"/>
        <v>147488.4</v>
      </c>
      <c r="F358" s="229">
        <f t="shared" si="23"/>
        <v>152520</v>
      </c>
      <c r="G358" s="226">
        <v>104880.3</v>
      </c>
      <c r="H358" s="227">
        <v>105567</v>
      </c>
      <c r="I358" s="226">
        <v>25373.1</v>
      </c>
      <c r="J358" s="221">
        <v>26781</v>
      </c>
      <c r="K358" s="228">
        <v>16888.2</v>
      </c>
      <c r="L358" s="228">
        <v>0</v>
      </c>
      <c r="M358" s="228">
        <v>346.8</v>
      </c>
      <c r="N358" s="221">
        <v>19637.100000000002</v>
      </c>
      <c r="O358" s="221">
        <v>0</v>
      </c>
      <c r="P358" s="221">
        <v>534.9</v>
      </c>
      <c r="Q358" s="228"/>
      <c r="R358" s="227"/>
      <c r="S358" s="225">
        <f t="shared" si="24"/>
        <v>0</v>
      </c>
      <c r="T358" s="229">
        <f t="shared" si="25"/>
        <v>0</v>
      </c>
      <c r="U358" s="226"/>
      <c r="V358" s="227"/>
      <c r="W358" s="226"/>
      <c r="X358" s="227"/>
      <c r="Y358" s="228"/>
      <c r="Z358" s="228"/>
      <c r="AA358" s="228"/>
      <c r="AB358" s="230"/>
      <c r="AC358" s="230"/>
      <c r="AD358" s="230"/>
      <c r="AE358" s="228"/>
      <c r="AF358" s="231"/>
    </row>
    <row r="359" spans="1:32" s="232" customFormat="1">
      <c r="A359" s="222" t="s">
        <v>201</v>
      </c>
      <c r="B359" s="223" t="s">
        <v>489</v>
      </c>
      <c r="C359" s="222">
        <v>197814</v>
      </c>
      <c r="D359" s="235">
        <v>9</v>
      </c>
      <c r="E359" s="225">
        <f t="shared" si="22"/>
        <v>73044.900000000009</v>
      </c>
      <c r="F359" s="229">
        <f t="shared" si="23"/>
        <v>75690.000000000015</v>
      </c>
      <c r="G359" s="226">
        <v>43325.4</v>
      </c>
      <c r="H359" s="227">
        <v>44077.5</v>
      </c>
      <c r="I359" s="226">
        <v>10435.5</v>
      </c>
      <c r="J359" s="221">
        <v>9507</v>
      </c>
      <c r="K359" s="228">
        <v>10880.1</v>
      </c>
      <c r="L359" s="228">
        <v>959.1</v>
      </c>
      <c r="M359" s="228">
        <v>7444.8</v>
      </c>
      <c r="N359" s="221">
        <v>12716.1</v>
      </c>
      <c r="O359" s="221">
        <v>614.09999999999991</v>
      </c>
      <c r="P359" s="221">
        <v>8775.2999999999993</v>
      </c>
      <c r="Q359" s="228"/>
      <c r="R359" s="227"/>
      <c r="S359" s="225">
        <f t="shared" si="24"/>
        <v>0</v>
      </c>
      <c r="T359" s="229">
        <f t="shared" si="25"/>
        <v>0</v>
      </c>
      <c r="U359" s="226"/>
      <c r="V359" s="227"/>
      <c r="W359" s="226"/>
      <c r="X359" s="227"/>
      <c r="Y359" s="228"/>
      <c r="Z359" s="228"/>
      <c r="AA359" s="228"/>
      <c r="AB359" s="230"/>
      <c r="AC359" s="230"/>
      <c r="AD359" s="230"/>
      <c r="AE359" s="228"/>
      <c r="AF359" s="231"/>
    </row>
    <row r="360" spans="1:32" s="232" customFormat="1">
      <c r="A360" s="222" t="s">
        <v>201</v>
      </c>
      <c r="B360" s="223" t="s">
        <v>490</v>
      </c>
      <c r="C360" s="222">
        <v>198367</v>
      </c>
      <c r="D360" s="235">
        <v>9</v>
      </c>
      <c r="E360" s="225">
        <f t="shared" si="22"/>
        <v>92544</v>
      </c>
      <c r="F360" s="229">
        <f t="shared" si="23"/>
        <v>91920</v>
      </c>
      <c r="G360" s="226">
        <v>51183.3</v>
      </c>
      <c r="H360" s="227">
        <v>48567.3</v>
      </c>
      <c r="I360" s="226">
        <v>12852</v>
      </c>
      <c r="J360" s="221">
        <v>7507.5</v>
      </c>
      <c r="K360" s="228">
        <v>17375.7</v>
      </c>
      <c r="L360" s="228">
        <v>0</v>
      </c>
      <c r="M360" s="228">
        <v>11133</v>
      </c>
      <c r="N360" s="221">
        <v>21320.399999999998</v>
      </c>
      <c r="O360" s="221">
        <v>0</v>
      </c>
      <c r="P360" s="221">
        <v>14524.8</v>
      </c>
      <c r="Q360" s="228"/>
      <c r="R360" s="227"/>
      <c r="S360" s="225">
        <f t="shared" si="24"/>
        <v>0</v>
      </c>
      <c r="T360" s="229">
        <f t="shared" si="25"/>
        <v>0</v>
      </c>
      <c r="U360" s="226"/>
      <c r="V360" s="227"/>
      <c r="W360" s="226"/>
      <c r="X360" s="227"/>
      <c r="Y360" s="228"/>
      <c r="Z360" s="228"/>
      <c r="AA360" s="228"/>
      <c r="AB360" s="230"/>
      <c r="AC360" s="230"/>
      <c r="AD360" s="230"/>
      <c r="AE360" s="228"/>
      <c r="AF360" s="231"/>
    </row>
    <row r="361" spans="1:32" s="232" customFormat="1">
      <c r="A361" s="222" t="s">
        <v>201</v>
      </c>
      <c r="B361" s="223" t="s">
        <v>491</v>
      </c>
      <c r="C361" s="222">
        <v>198376</v>
      </c>
      <c r="D361" s="235">
        <v>9</v>
      </c>
      <c r="E361" s="225">
        <f t="shared" si="22"/>
        <v>113710.2</v>
      </c>
      <c r="F361" s="229">
        <f t="shared" si="23"/>
        <v>125099.99999999999</v>
      </c>
      <c r="G361" s="226">
        <v>79993.8</v>
      </c>
      <c r="H361" s="227">
        <v>77075.7</v>
      </c>
      <c r="I361" s="226">
        <v>8422.7999999999993</v>
      </c>
      <c r="J361" s="221">
        <v>9391.7999999999993</v>
      </c>
      <c r="K361" s="228">
        <v>12968.4</v>
      </c>
      <c r="L361" s="228">
        <v>2313.3000000000002</v>
      </c>
      <c r="M361" s="228">
        <v>10011.9</v>
      </c>
      <c r="N361" s="221">
        <v>18342.900000000001</v>
      </c>
      <c r="O361" s="221">
        <v>1793.4</v>
      </c>
      <c r="P361" s="221">
        <v>18496.199999999997</v>
      </c>
      <c r="Q361" s="228"/>
      <c r="R361" s="227"/>
      <c r="S361" s="225">
        <f t="shared" si="24"/>
        <v>0</v>
      </c>
      <c r="T361" s="229">
        <f t="shared" si="25"/>
        <v>0</v>
      </c>
      <c r="U361" s="226"/>
      <c r="V361" s="227"/>
      <c r="W361" s="226"/>
      <c r="X361" s="227"/>
      <c r="Y361" s="228"/>
      <c r="Z361" s="228"/>
      <c r="AA361" s="228"/>
      <c r="AB361" s="230"/>
      <c r="AC361" s="230"/>
      <c r="AD361" s="230"/>
      <c r="AE361" s="228"/>
      <c r="AF361" s="231"/>
    </row>
    <row r="362" spans="1:32" s="232" customFormat="1">
      <c r="A362" s="222" t="s">
        <v>201</v>
      </c>
      <c r="B362" s="223" t="s">
        <v>493</v>
      </c>
      <c r="C362" s="222">
        <v>198491</v>
      </c>
      <c r="D362" s="235">
        <v>9</v>
      </c>
      <c r="E362" s="225">
        <f t="shared" si="22"/>
        <v>72549.600000000006</v>
      </c>
      <c r="F362" s="229">
        <f t="shared" si="23"/>
        <v>75840.000000000015</v>
      </c>
      <c r="G362" s="226">
        <v>45240.3</v>
      </c>
      <c r="H362" s="227">
        <v>44573.100000000006</v>
      </c>
      <c r="I362" s="226">
        <v>16422.599999999999</v>
      </c>
      <c r="J362" s="221">
        <v>16963.5</v>
      </c>
      <c r="K362" s="228">
        <v>6836.7</v>
      </c>
      <c r="L362" s="228">
        <v>253.2</v>
      </c>
      <c r="M362" s="228">
        <v>3796.8</v>
      </c>
      <c r="N362" s="221">
        <v>10730.1</v>
      </c>
      <c r="O362" s="221">
        <v>42.3</v>
      </c>
      <c r="P362" s="221">
        <v>3531</v>
      </c>
      <c r="Q362" s="228"/>
      <c r="R362" s="227"/>
      <c r="S362" s="225">
        <f t="shared" si="24"/>
        <v>0</v>
      </c>
      <c r="T362" s="229">
        <f t="shared" si="25"/>
        <v>0</v>
      </c>
      <c r="U362" s="226"/>
      <c r="V362" s="227"/>
      <c r="W362" s="226"/>
      <c r="X362" s="227"/>
      <c r="Y362" s="228"/>
      <c r="Z362" s="228"/>
      <c r="AA362" s="228"/>
      <c r="AB362" s="230"/>
      <c r="AC362" s="230"/>
      <c r="AD362" s="230"/>
      <c r="AE362" s="228"/>
      <c r="AF362" s="231"/>
    </row>
    <row r="363" spans="1:32" s="232" customFormat="1">
      <c r="A363" s="222" t="s">
        <v>201</v>
      </c>
      <c r="B363" s="279" t="s">
        <v>496</v>
      </c>
      <c r="C363" s="222">
        <v>198570</v>
      </c>
      <c r="D363" s="235">
        <v>9</v>
      </c>
      <c r="E363" s="225">
        <f t="shared" si="22"/>
        <v>149676.00000000003</v>
      </c>
      <c r="F363" s="229">
        <f t="shared" si="23"/>
        <v>157349.99999999997</v>
      </c>
      <c r="G363" s="226">
        <v>114182.1</v>
      </c>
      <c r="H363" s="227">
        <v>108637.2</v>
      </c>
      <c r="I363" s="226">
        <v>13689.3</v>
      </c>
      <c r="J363" s="221">
        <v>18070.499999999996</v>
      </c>
      <c r="K363" s="228">
        <v>14699.7</v>
      </c>
      <c r="L363" s="228">
        <v>508.2</v>
      </c>
      <c r="M363" s="228">
        <v>6596.7</v>
      </c>
      <c r="N363" s="221">
        <v>21839.100000000002</v>
      </c>
      <c r="O363" s="221">
        <v>345.9</v>
      </c>
      <c r="P363" s="221">
        <v>8457.2999999999993</v>
      </c>
      <c r="Q363" s="228"/>
      <c r="R363" s="227"/>
      <c r="S363" s="225">
        <f t="shared" si="24"/>
        <v>0</v>
      </c>
      <c r="T363" s="229">
        <f t="shared" si="25"/>
        <v>0</v>
      </c>
      <c r="U363" s="226"/>
      <c r="V363" s="227"/>
      <c r="W363" s="226"/>
      <c r="X363" s="227"/>
      <c r="Y363" s="228"/>
      <c r="Z363" s="228"/>
      <c r="AA363" s="228"/>
      <c r="AB363" s="230"/>
      <c r="AC363" s="230"/>
      <c r="AD363" s="230"/>
      <c r="AE363" s="228"/>
      <c r="AF363" s="231"/>
    </row>
    <row r="364" spans="1:32" s="232" customFormat="1">
      <c r="A364" s="222" t="s">
        <v>201</v>
      </c>
      <c r="B364" s="223" t="s">
        <v>499</v>
      </c>
      <c r="C364" s="222">
        <v>198668</v>
      </c>
      <c r="D364" s="235">
        <v>9</v>
      </c>
      <c r="E364" s="225">
        <f t="shared" si="22"/>
        <v>62017.499999999993</v>
      </c>
      <c r="F364" s="229">
        <f t="shared" si="23"/>
        <v>61020</v>
      </c>
      <c r="G364" s="226">
        <v>38520.6</v>
      </c>
      <c r="H364" s="227">
        <v>38961</v>
      </c>
      <c r="I364" s="226">
        <v>11242.8</v>
      </c>
      <c r="J364" s="221">
        <v>8395.5</v>
      </c>
      <c r="K364" s="228">
        <v>10235.700000000001</v>
      </c>
      <c r="L364" s="228">
        <v>0</v>
      </c>
      <c r="M364" s="228">
        <v>2018.4</v>
      </c>
      <c r="N364" s="221">
        <v>11055.900000000001</v>
      </c>
      <c r="O364" s="221">
        <v>0</v>
      </c>
      <c r="P364" s="221">
        <v>2607.6</v>
      </c>
      <c r="Q364" s="228"/>
      <c r="R364" s="227"/>
      <c r="S364" s="225">
        <f t="shared" si="24"/>
        <v>0</v>
      </c>
      <c r="T364" s="229">
        <f t="shared" si="25"/>
        <v>0</v>
      </c>
      <c r="U364" s="226"/>
      <c r="V364" s="227"/>
      <c r="W364" s="226"/>
      <c r="X364" s="227"/>
      <c r="Y364" s="228"/>
      <c r="Z364" s="228"/>
      <c r="AA364" s="228"/>
      <c r="AB364" s="230"/>
      <c r="AC364" s="230"/>
      <c r="AD364" s="230"/>
      <c r="AE364" s="228"/>
      <c r="AF364" s="231"/>
    </row>
    <row r="365" spans="1:32" s="232" customFormat="1">
      <c r="A365" s="222" t="s">
        <v>201</v>
      </c>
      <c r="B365" s="223" t="s">
        <v>500</v>
      </c>
      <c r="C365" s="222">
        <v>198710</v>
      </c>
      <c r="D365" s="235">
        <v>9</v>
      </c>
      <c r="E365" s="225">
        <f t="shared" si="22"/>
        <v>71612.7</v>
      </c>
      <c r="F365" s="229">
        <f t="shared" si="23"/>
        <v>72240</v>
      </c>
      <c r="G365" s="226">
        <v>57577.2</v>
      </c>
      <c r="H365" s="227">
        <v>55169.7</v>
      </c>
      <c r="I365" s="226">
        <v>8743.2000000000007</v>
      </c>
      <c r="J365" s="221">
        <v>8892</v>
      </c>
      <c r="K365" s="228">
        <v>3464.1</v>
      </c>
      <c r="L365" s="228">
        <v>0</v>
      </c>
      <c r="M365" s="228">
        <v>1828.2</v>
      </c>
      <c r="N365" s="221">
        <v>5552.7</v>
      </c>
      <c r="O365" s="221">
        <v>0</v>
      </c>
      <c r="P365" s="221">
        <v>2625.6</v>
      </c>
      <c r="Q365" s="228"/>
      <c r="R365" s="227"/>
      <c r="S365" s="225">
        <f t="shared" si="24"/>
        <v>0</v>
      </c>
      <c r="T365" s="229">
        <f t="shared" si="25"/>
        <v>0</v>
      </c>
      <c r="U365" s="226"/>
      <c r="V365" s="227"/>
      <c r="W365" s="226"/>
      <c r="X365" s="227"/>
      <c r="Y365" s="228"/>
      <c r="Z365" s="228"/>
      <c r="AA365" s="228"/>
      <c r="AB365" s="230"/>
      <c r="AC365" s="230"/>
      <c r="AD365" s="230"/>
      <c r="AE365" s="228"/>
      <c r="AF365" s="231"/>
    </row>
    <row r="366" spans="1:32" s="232" customFormat="1">
      <c r="A366" s="222" t="s">
        <v>201</v>
      </c>
      <c r="B366" s="223" t="s">
        <v>502</v>
      </c>
      <c r="C366" s="222">
        <v>198774</v>
      </c>
      <c r="D366" s="235">
        <v>9</v>
      </c>
      <c r="E366" s="225">
        <f t="shared" si="22"/>
        <v>128582.39999999999</v>
      </c>
      <c r="F366" s="229">
        <f t="shared" si="23"/>
        <v>135630</v>
      </c>
      <c r="G366" s="226">
        <v>69979.199999999997</v>
      </c>
      <c r="H366" s="227">
        <v>70929</v>
      </c>
      <c r="I366" s="226">
        <v>37696.800000000003</v>
      </c>
      <c r="J366" s="221">
        <v>37834.5</v>
      </c>
      <c r="K366" s="228">
        <v>15983.7</v>
      </c>
      <c r="L366" s="228">
        <v>0</v>
      </c>
      <c r="M366" s="228">
        <v>4922.7</v>
      </c>
      <c r="N366" s="221">
        <v>19090.500000000004</v>
      </c>
      <c r="O366" s="221">
        <v>0</v>
      </c>
      <c r="P366" s="221">
        <v>7776</v>
      </c>
      <c r="Q366" s="228"/>
      <c r="R366" s="227"/>
      <c r="S366" s="225">
        <f t="shared" si="24"/>
        <v>0</v>
      </c>
      <c r="T366" s="229">
        <f t="shared" si="25"/>
        <v>0</v>
      </c>
      <c r="U366" s="226"/>
      <c r="V366" s="227"/>
      <c r="W366" s="226"/>
      <c r="X366" s="227"/>
      <c r="Y366" s="228"/>
      <c r="Z366" s="228"/>
      <c r="AA366" s="228"/>
      <c r="AB366" s="230"/>
      <c r="AC366" s="230"/>
      <c r="AD366" s="230"/>
      <c r="AE366" s="228"/>
      <c r="AF366" s="231"/>
    </row>
    <row r="367" spans="1:32" s="232" customFormat="1">
      <c r="A367" s="222" t="s">
        <v>201</v>
      </c>
      <c r="B367" s="223" t="s">
        <v>503</v>
      </c>
      <c r="C367" s="222">
        <v>198817</v>
      </c>
      <c r="D367" s="235">
        <v>9</v>
      </c>
      <c r="E367" s="225">
        <f t="shared" si="22"/>
        <v>107276.10000000002</v>
      </c>
      <c r="F367" s="229">
        <f t="shared" si="23"/>
        <v>115920</v>
      </c>
      <c r="G367" s="226">
        <v>69676.800000000003</v>
      </c>
      <c r="H367" s="227">
        <v>69611.100000000006</v>
      </c>
      <c r="I367" s="226">
        <v>20091.900000000001</v>
      </c>
      <c r="J367" s="221">
        <v>18880.499999999996</v>
      </c>
      <c r="K367" s="228">
        <v>16228.8</v>
      </c>
      <c r="L367" s="228">
        <v>0</v>
      </c>
      <c r="M367" s="228">
        <v>1278.5999999999999</v>
      </c>
      <c r="N367" s="221">
        <v>22209.9</v>
      </c>
      <c r="O367" s="221">
        <v>0</v>
      </c>
      <c r="P367" s="221">
        <v>5218.5</v>
      </c>
      <c r="Q367" s="228"/>
      <c r="R367" s="227"/>
      <c r="S367" s="225">
        <f t="shared" si="24"/>
        <v>0</v>
      </c>
      <c r="T367" s="229">
        <f t="shared" si="25"/>
        <v>0</v>
      </c>
      <c r="U367" s="226"/>
      <c r="V367" s="227"/>
      <c r="W367" s="226"/>
      <c r="X367" s="227"/>
      <c r="Y367" s="228"/>
      <c r="Z367" s="228"/>
      <c r="AA367" s="228"/>
      <c r="AB367" s="230"/>
      <c r="AC367" s="230"/>
      <c r="AD367" s="230"/>
      <c r="AE367" s="228"/>
      <c r="AF367" s="231"/>
    </row>
    <row r="368" spans="1:32" s="232" customFormat="1">
      <c r="A368" s="222" t="s">
        <v>201</v>
      </c>
      <c r="B368" s="280" t="s">
        <v>505</v>
      </c>
      <c r="C368" s="234">
        <v>198914</v>
      </c>
      <c r="D368" s="261">
        <v>9</v>
      </c>
      <c r="E368" s="225">
        <f t="shared" si="22"/>
        <v>60048.9</v>
      </c>
      <c r="F368" s="229">
        <f t="shared" si="23"/>
        <v>61260</v>
      </c>
      <c r="G368" s="226">
        <v>26660.7</v>
      </c>
      <c r="H368" s="227">
        <v>25969.199999999997</v>
      </c>
      <c r="I368" s="226">
        <v>30783.3</v>
      </c>
      <c r="J368" s="221">
        <v>31752.000000000004</v>
      </c>
      <c r="K368" s="228">
        <v>1638.9</v>
      </c>
      <c r="L368" s="228">
        <v>517.5</v>
      </c>
      <c r="M368" s="228">
        <v>448.5</v>
      </c>
      <c r="N368" s="221">
        <v>2578.7999999999997</v>
      </c>
      <c r="O368" s="221">
        <v>281.40000000000003</v>
      </c>
      <c r="P368" s="221">
        <v>678.6</v>
      </c>
      <c r="Q368" s="228"/>
      <c r="R368" s="227"/>
      <c r="S368" s="225">
        <f t="shared" si="24"/>
        <v>0</v>
      </c>
      <c r="T368" s="229">
        <f t="shared" si="25"/>
        <v>0</v>
      </c>
      <c r="U368" s="226"/>
      <c r="V368" s="227"/>
      <c r="W368" s="226"/>
      <c r="X368" s="227"/>
      <c r="Y368" s="228"/>
      <c r="Z368" s="228"/>
      <c r="AA368" s="228"/>
      <c r="AB368" s="230"/>
      <c r="AC368" s="230"/>
      <c r="AD368" s="230"/>
      <c r="AE368" s="228"/>
      <c r="AF368" s="231"/>
    </row>
    <row r="369" spans="1:32" s="232" customFormat="1">
      <c r="A369" s="222" t="s">
        <v>201</v>
      </c>
      <c r="B369" s="223" t="s">
        <v>507</v>
      </c>
      <c r="C369" s="222">
        <v>198987</v>
      </c>
      <c r="D369" s="235">
        <v>9</v>
      </c>
      <c r="E369" s="225">
        <f t="shared" si="22"/>
        <v>73401.299999999988</v>
      </c>
      <c r="F369" s="229">
        <f t="shared" si="23"/>
        <v>83040</v>
      </c>
      <c r="G369" s="226">
        <v>57054.3</v>
      </c>
      <c r="H369" s="227">
        <v>64608.6</v>
      </c>
      <c r="I369" s="226">
        <v>9065.7000000000007</v>
      </c>
      <c r="J369" s="221">
        <v>8151.6</v>
      </c>
      <c r="K369" s="228">
        <v>4230.8999999999996</v>
      </c>
      <c r="L369" s="228">
        <v>0</v>
      </c>
      <c r="M369" s="228">
        <v>3050.4</v>
      </c>
      <c r="N369" s="221">
        <v>6463.8</v>
      </c>
      <c r="O369" s="221">
        <v>0.89999999999999991</v>
      </c>
      <c r="P369" s="221">
        <v>3815.1</v>
      </c>
      <c r="Q369" s="228"/>
      <c r="R369" s="227"/>
      <c r="S369" s="225">
        <f t="shared" si="24"/>
        <v>0</v>
      </c>
      <c r="T369" s="229">
        <f t="shared" si="25"/>
        <v>0</v>
      </c>
      <c r="U369" s="226"/>
      <c r="V369" s="227"/>
      <c r="W369" s="226"/>
      <c r="X369" s="227"/>
      <c r="Y369" s="228"/>
      <c r="Z369" s="228"/>
      <c r="AA369" s="228"/>
      <c r="AB369" s="230"/>
      <c r="AC369" s="230"/>
      <c r="AD369" s="230"/>
      <c r="AE369" s="228"/>
      <c r="AF369" s="231"/>
    </row>
    <row r="370" spans="1:32" s="232" customFormat="1">
      <c r="A370" s="222" t="s">
        <v>201</v>
      </c>
      <c r="B370" s="223" t="s">
        <v>509</v>
      </c>
      <c r="C370" s="222">
        <v>199087</v>
      </c>
      <c r="D370" s="235">
        <v>9</v>
      </c>
      <c r="E370" s="225">
        <f t="shared" si="22"/>
        <v>81689.099999999991</v>
      </c>
      <c r="F370" s="229">
        <f t="shared" si="23"/>
        <v>83100</v>
      </c>
      <c r="G370" s="226">
        <v>61581.599999999999</v>
      </c>
      <c r="H370" s="227">
        <v>63113.4</v>
      </c>
      <c r="I370" s="226">
        <v>13409.1</v>
      </c>
      <c r="J370" s="221">
        <v>11111.1</v>
      </c>
      <c r="K370" s="228">
        <v>6476.4</v>
      </c>
      <c r="L370" s="228">
        <v>0</v>
      </c>
      <c r="M370" s="228">
        <v>222</v>
      </c>
      <c r="N370" s="221">
        <v>7712.6999999999989</v>
      </c>
      <c r="O370" s="221">
        <v>0</v>
      </c>
      <c r="P370" s="221">
        <v>1162.8</v>
      </c>
      <c r="Q370" s="228"/>
      <c r="R370" s="227"/>
      <c r="S370" s="225">
        <f t="shared" si="24"/>
        <v>0</v>
      </c>
      <c r="T370" s="229">
        <f t="shared" si="25"/>
        <v>0</v>
      </c>
      <c r="U370" s="226"/>
      <c r="V370" s="227"/>
      <c r="W370" s="226"/>
      <c r="X370" s="227"/>
      <c r="Y370" s="228"/>
      <c r="Z370" s="228"/>
      <c r="AA370" s="228"/>
      <c r="AB370" s="230"/>
      <c r="AC370" s="230"/>
      <c r="AD370" s="230"/>
      <c r="AE370" s="228"/>
      <c r="AF370" s="231"/>
    </row>
    <row r="371" spans="1:32" s="203" customFormat="1">
      <c r="A371" s="222" t="s">
        <v>201</v>
      </c>
      <c r="B371" s="223" t="s">
        <v>511</v>
      </c>
      <c r="C371" s="222">
        <v>199324</v>
      </c>
      <c r="D371" s="235">
        <v>9</v>
      </c>
      <c r="E371" s="225">
        <f t="shared" si="22"/>
        <v>87588.89999999998</v>
      </c>
      <c r="F371" s="229">
        <f t="shared" si="23"/>
        <v>86640</v>
      </c>
      <c r="G371" s="226">
        <v>48439.199999999997</v>
      </c>
      <c r="H371" s="227">
        <v>48486.9</v>
      </c>
      <c r="I371" s="226">
        <v>22695.599999999999</v>
      </c>
      <c r="J371" s="221">
        <v>21086.400000000001</v>
      </c>
      <c r="K371" s="228">
        <v>11805.3</v>
      </c>
      <c r="L371" s="228">
        <v>1698.9</v>
      </c>
      <c r="M371" s="228">
        <v>2949.9</v>
      </c>
      <c r="N371" s="221">
        <v>11267.4</v>
      </c>
      <c r="O371" s="221">
        <v>1412.7</v>
      </c>
      <c r="P371" s="221">
        <v>4386.6000000000004</v>
      </c>
      <c r="Q371" s="228"/>
      <c r="R371" s="227"/>
      <c r="S371" s="225">
        <f t="shared" si="24"/>
        <v>0</v>
      </c>
      <c r="T371" s="229">
        <f t="shared" si="25"/>
        <v>0</v>
      </c>
      <c r="U371" s="226"/>
      <c r="V371" s="227"/>
      <c r="W371" s="226"/>
      <c r="X371" s="227"/>
      <c r="Y371" s="228"/>
      <c r="Z371" s="228"/>
      <c r="AA371" s="228"/>
      <c r="AB371" s="230"/>
      <c r="AC371" s="230"/>
      <c r="AD371" s="230"/>
      <c r="AE371" s="228"/>
      <c r="AF371" s="231"/>
    </row>
    <row r="372" spans="1:32" s="203" customFormat="1">
      <c r="A372" s="222" t="s">
        <v>201</v>
      </c>
      <c r="B372" s="223" t="s">
        <v>513</v>
      </c>
      <c r="C372" s="222">
        <v>199421</v>
      </c>
      <c r="D372" s="238">
        <v>9</v>
      </c>
      <c r="E372" s="225">
        <f t="shared" si="22"/>
        <v>82649.999999999985</v>
      </c>
      <c r="F372" s="229">
        <f t="shared" si="23"/>
        <v>83879.999999999985</v>
      </c>
      <c r="G372" s="226">
        <v>59192.4</v>
      </c>
      <c r="H372" s="227">
        <v>59469.899999999994</v>
      </c>
      <c r="I372" s="226">
        <v>10510.8</v>
      </c>
      <c r="J372" s="221">
        <v>9614.1</v>
      </c>
      <c r="K372" s="228">
        <v>11048.4</v>
      </c>
      <c r="L372" s="228">
        <v>0</v>
      </c>
      <c r="M372" s="228">
        <v>1898.4</v>
      </c>
      <c r="N372" s="377">
        <v>12746.4</v>
      </c>
      <c r="O372" s="377">
        <v>120.9</v>
      </c>
      <c r="P372" s="377">
        <v>1928.6999999999998</v>
      </c>
      <c r="Q372" s="228"/>
      <c r="R372" s="227"/>
      <c r="S372" s="225">
        <f t="shared" si="24"/>
        <v>0</v>
      </c>
      <c r="T372" s="229">
        <f t="shared" si="25"/>
        <v>0</v>
      </c>
      <c r="U372" s="226"/>
      <c r="V372" s="227"/>
      <c r="W372" s="226"/>
      <c r="X372" s="227"/>
      <c r="Y372" s="228"/>
      <c r="Z372" s="228"/>
      <c r="AA372" s="228"/>
      <c r="AB372" s="230"/>
      <c r="AC372" s="230"/>
      <c r="AD372" s="230"/>
      <c r="AE372" s="228"/>
      <c r="AF372" s="231"/>
    </row>
    <row r="373" spans="1:32" s="203" customFormat="1">
      <c r="A373" s="222" t="s">
        <v>201</v>
      </c>
      <c r="B373" s="223" t="s">
        <v>514</v>
      </c>
      <c r="C373" s="222">
        <v>199449</v>
      </c>
      <c r="D373" s="238">
        <v>9</v>
      </c>
      <c r="E373" s="225">
        <f t="shared" si="22"/>
        <v>67074</v>
      </c>
      <c r="F373" s="229">
        <f t="shared" si="23"/>
        <v>67950</v>
      </c>
      <c r="G373" s="226">
        <v>44651.4</v>
      </c>
      <c r="H373" s="227">
        <v>43797</v>
      </c>
      <c r="I373" s="226">
        <v>15651.3</v>
      </c>
      <c r="J373" s="221">
        <v>16863.599999999999</v>
      </c>
      <c r="K373" s="228">
        <v>4152.8999999999996</v>
      </c>
      <c r="L373" s="228">
        <v>0</v>
      </c>
      <c r="M373" s="228">
        <v>2618.4</v>
      </c>
      <c r="N373" s="377">
        <v>5236.2</v>
      </c>
      <c r="O373" s="377">
        <v>0</v>
      </c>
      <c r="P373" s="377">
        <v>2053.1999999999998</v>
      </c>
      <c r="Q373" s="228"/>
      <c r="R373" s="227"/>
      <c r="S373" s="225">
        <f t="shared" si="24"/>
        <v>0</v>
      </c>
      <c r="T373" s="229">
        <f t="shared" si="25"/>
        <v>0</v>
      </c>
      <c r="U373" s="226"/>
      <c r="V373" s="227"/>
      <c r="W373" s="226"/>
      <c r="X373" s="227"/>
      <c r="Y373" s="228"/>
      <c r="Z373" s="228"/>
      <c r="AA373" s="228"/>
      <c r="AB373" s="230"/>
      <c r="AC373" s="230"/>
      <c r="AD373" s="230"/>
      <c r="AE373" s="228"/>
      <c r="AF373" s="231"/>
    </row>
    <row r="374" spans="1:32" s="203" customFormat="1">
      <c r="A374" s="222" t="s">
        <v>201</v>
      </c>
      <c r="B374" s="223" t="s">
        <v>516</v>
      </c>
      <c r="C374" s="222">
        <v>199476</v>
      </c>
      <c r="D374" s="238">
        <v>9</v>
      </c>
      <c r="E374" s="225">
        <f t="shared" si="22"/>
        <v>119113.20000000001</v>
      </c>
      <c r="F374" s="229">
        <f t="shared" si="23"/>
        <v>116520.00000000001</v>
      </c>
      <c r="G374" s="226">
        <v>81408.600000000006</v>
      </c>
      <c r="H374" s="227">
        <v>76031.100000000006</v>
      </c>
      <c r="I374" s="226">
        <v>30096.9</v>
      </c>
      <c r="J374" s="221">
        <v>30546.600000000002</v>
      </c>
      <c r="K374" s="228">
        <v>7008.6</v>
      </c>
      <c r="L374" s="228">
        <v>106.8</v>
      </c>
      <c r="M374" s="228">
        <v>492.3</v>
      </c>
      <c r="N374" s="377">
        <v>9353.0999999999985</v>
      </c>
      <c r="O374" s="377">
        <v>47.7</v>
      </c>
      <c r="P374" s="377">
        <v>541.5</v>
      </c>
      <c r="Q374" s="228"/>
      <c r="R374" s="227"/>
      <c r="S374" s="225">
        <f t="shared" si="24"/>
        <v>0</v>
      </c>
      <c r="T374" s="229">
        <f t="shared" si="25"/>
        <v>0</v>
      </c>
      <c r="U374" s="226"/>
      <c r="V374" s="227"/>
      <c r="W374" s="226"/>
      <c r="X374" s="227"/>
      <c r="Y374" s="228"/>
      <c r="Z374" s="228"/>
      <c r="AA374" s="228"/>
      <c r="AB374" s="230"/>
      <c r="AC374" s="230"/>
      <c r="AD374" s="230"/>
      <c r="AE374" s="228"/>
      <c r="AF374" s="231"/>
    </row>
    <row r="375" spans="1:32" s="203" customFormat="1">
      <c r="A375" s="222" t="s">
        <v>201</v>
      </c>
      <c r="B375" s="223" t="s">
        <v>517</v>
      </c>
      <c r="C375" s="222">
        <v>199485</v>
      </c>
      <c r="D375" s="238">
        <v>9</v>
      </c>
      <c r="E375" s="225">
        <f t="shared" si="22"/>
        <v>67546.2</v>
      </c>
      <c r="F375" s="229">
        <f t="shared" si="23"/>
        <v>67170</v>
      </c>
      <c r="G375" s="226">
        <v>52315.5</v>
      </c>
      <c r="H375" s="227">
        <v>51956.7</v>
      </c>
      <c r="I375" s="226">
        <v>8196</v>
      </c>
      <c r="J375" s="221">
        <v>7506</v>
      </c>
      <c r="K375" s="228">
        <v>4551.3</v>
      </c>
      <c r="L375" s="228">
        <v>0</v>
      </c>
      <c r="M375" s="228">
        <v>2483.4</v>
      </c>
      <c r="N375" s="377">
        <v>4432.7999999999993</v>
      </c>
      <c r="O375" s="377">
        <v>36.6</v>
      </c>
      <c r="P375" s="377">
        <v>3237.9</v>
      </c>
      <c r="Q375" s="228"/>
      <c r="R375" s="227"/>
      <c r="S375" s="225">
        <f t="shared" si="24"/>
        <v>0</v>
      </c>
      <c r="T375" s="229">
        <f t="shared" si="25"/>
        <v>0</v>
      </c>
      <c r="U375" s="226"/>
      <c r="V375" s="227"/>
      <c r="W375" s="226"/>
      <c r="X375" s="227"/>
      <c r="Y375" s="228"/>
      <c r="Z375" s="228"/>
      <c r="AA375" s="228"/>
      <c r="AB375" s="230"/>
      <c r="AC375" s="230"/>
      <c r="AD375" s="230"/>
      <c r="AE375" s="228"/>
      <c r="AF375" s="231"/>
    </row>
    <row r="376" spans="1:32" s="203" customFormat="1">
      <c r="A376" s="222" t="s">
        <v>201</v>
      </c>
      <c r="B376" s="223" t="s">
        <v>520</v>
      </c>
      <c r="C376" s="222">
        <v>199634</v>
      </c>
      <c r="D376" s="238">
        <v>9</v>
      </c>
      <c r="E376" s="225">
        <f t="shared" si="22"/>
        <v>122410.20000000001</v>
      </c>
      <c r="F376" s="229">
        <f t="shared" si="23"/>
        <v>125040</v>
      </c>
      <c r="G376" s="226">
        <v>86939.7</v>
      </c>
      <c r="H376" s="227">
        <v>86152.2</v>
      </c>
      <c r="I376" s="226">
        <v>17940.900000000001</v>
      </c>
      <c r="J376" s="221">
        <v>17406.300000000003</v>
      </c>
      <c r="K376" s="228">
        <v>12205.5</v>
      </c>
      <c r="L376" s="228">
        <v>0</v>
      </c>
      <c r="M376" s="228">
        <v>5324.1</v>
      </c>
      <c r="N376" s="377">
        <v>14731.5</v>
      </c>
      <c r="O376" s="377">
        <v>0</v>
      </c>
      <c r="P376" s="377">
        <v>6750</v>
      </c>
      <c r="Q376" s="228"/>
      <c r="R376" s="227"/>
      <c r="S376" s="225">
        <f t="shared" si="24"/>
        <v>0</v>
      </c>
      <c r="T376" s="229">
        <f t="shared" si="25"/>
        <v>0</v>
      </c>
      <c r="U376" s="226"/>
      <c r="V376" s="227"/>
      <c r="W376" s="226"/>
      <c r="X376" s="227"/>
      <c r="Y376" s="228"/>
      <c r="Z376" s="228"/>
      <c r="AA376" s="228"/>
      <c r="AB376" s="230"/>
      <c r="AC376" s="230"/>
      <c r="AD376" s="230"/>
      <c r="AE376" s="228"/>
      <c r="AF376" s="231"/>
    </row>
    <row r="377" spans="1:32" s="203" customFormat="1">
      <c r="A377" s="222" t="s">
        <v>201</v>
      </c>
      <c r="B377" s="223" t="s">
        <v>521</v>
      </c>
      <c r="C377" s="222">
        <v>197850</v>
      </c>
      <c r="D377" s="238">
        <v>9</v>
      </c>
      <c r="E377" s="225">
        <f t="shared" si="22"/>
        <v>68742.600000000006</v>
      </c>
      <c r="F377" s="229">
        <f t="shared" si="23"/>
        <v>76950</v>
      </c>
      <c r="G377" s="226">
        <v>40898.1</v>
      </c>
      <c r="H377" s="227">
        <v>41981.700000000004</v>
      </c>
      <c r="I377" s="226">
        <v>16467.900000000001</v>
      </c>
      <c r="J377" s="221">
        <v>18364.2</v>
      </c>
      <c r="K377" s="228">
        <v>10779.3</v>
      </c>
      <c r="L377" s="228">
        <v>547.5</v>
      </c>
      <c r="M377" s="228">
        <v>49.8</v>
      </c>
      <c r="N377" s="377">
        <v>13867.199999999999</v>
      </c>
      <c r="O377" s="377">
        <v>692.7</v>
      </c>
      <c r="P377" s="377">
        <v>2044.2</v>
      </c>
      <c r="Q377" s="228"/>
      <c r="R377" s="227"/>
      <c r="S377" s="225">
        <f t="shared" si="24"/>
        <v>0</v>
      </c>
      <c r="T377" s="229">
        <f t="shared" si="25"/>
        <v>0</v>
      </c>
      <c r="U377" s="226"/>
      <c r="V377" s="227"/>
      <c r="W377" s="226"/>
      <c r="X377" s="227"/>
      <c r="Y377" s="228"/>
      <c r="Z377" s="228"/>
      <c r="AA377" s="228"/>
      <c r="AB377" s="230"/>
      <c r="AC377" s="230"/>
      <c r="AD377" s="230"/>
      <c r="AE377" s="228"/>
      <c r="AF377" s="231"/>
    </row>
    <row r="378" spans="1:32" s="203" customFormat="1">
      <c r="A378" s="222" t="s">
        <v>201</v>
      </c>
      <c r="B378" s="223" t="s">
        <v>522</v>
      </c>
      <c r="C378" s="222">
        <v>199722</v>
      </c>
      <c r="D378" s="238">
        <v>9</v>
      </c>
      <c r="E378" s="225">
        <f t="shared" si="22"/>
        <v>78693.600000000006</v>
      </c>
      <c r="F378" s="229">
        <f t="shared" si="23"/>
        <v>80280</v>
      </c>
      <c r="G378" s="226">
        <v>50832</v>
      </c>
      <c r="H378" s="227">
        <v>51290.1</v>
      </c>
      <c r="I378" s="226">
        <v>19663.5</v>
      </c>
      <c r="J378" s="221">
        <v>16623</v>
      </c>
      <c r="K378" s="228">
        <v>5466.3</v>
      </c>
      <c r="L378" s="228">
        <v>1244.0999999999999</v>
      </c>
      <c r="M378" s="228">
        <v>1487.7</v>
      </c>
      <c r="N378" s="377">
        <v>12196.2</v>
      </c>
      <c r="O378" s="377">
        <v>75</v>
      </c>
      <c r="P378" s="377">
        <v>95.7</v>
      </c>
      <c r="Q378" s="228"/>
      <c r="R378" s="227"/>
      <c r="S378" s="225">
        <f t="shared" si="24"/>
        <v>0</v>
      </c>
      <c r="T378" s="229">
        <f t="shared" si="25"/>
        <v>0</v>
      </c>
      <c r="U378" s="226"/>
      <c r="V378" s="227"/>
      <c r="W378" s="226"/>
      <c r="X378" s="227"/>
      <c r="Y378" s="228"/>
      <c r="Z378" s="228"/>
      <c r="AA378" s="228"/>
      <c r="AB378" s="230"/>
      <c r="AC378" s="230"/>
      <c r="AD378" s="230"/>
      <c r="AE378" s="228"/>
      <c r="AF378" s="231"/>
    </row>
    <row r="379" spans="1:32" s="203" customFormat="1">
      <c r="A379" s="222" t="s">
        <v>201</v>
      </c>
      <c r="B379" s="223" t="s">
        <v>523</v>
      </c>
      <c r="C379" s="222">
        <v>199731</v>
      </c>
      <c r="D379" s="238">
        <v>9</v>
      </c>
      <c r="E379" s="225">
        <f t="shared" si="22"/>
        <v>72241.5</v>
      </c>
      <c r="F379" s="229">
        <f t="shared" si="23"/>
        <v>77610</v>
      </c>
      <c r="G379" s="226">
        <v>38808</v>
      </c>
      <c r="H379" s="227">
        <v>41259.599999999999</v>
      </c>
      <c r="I379" s="226">
        <v>21480</v>
      </c>
      <c r="J379" s="221">
        <v>19840.5</v>
      </c>
      <c r="K379" s="228">
        <v>7427.4</v>
      </c>
      <c r="L379" s="228">
        <v>2137.5</v>
      </c>
      <c r="M379" s="228">
        <v>2388.6</v>
      </c>
      <c r="N379" s="377">
        <v>9560.1</v>
      </c>
      <c r="O379" s="377">
        <v>2070</v>
      </c>
      <c r="P379" s="377">
        <v>4879.8</v>
      </c>
      <c r="Q379" s="228"/>
      <c r="R379" s="227"/>
      <c r="S379" s="225">
        <f t="shared" si="24"/>
        <v>0</v>
      </c>
      <c r="T379" s="229">
        <f t="shared" si="25"/>
        <v>0</v>
      </c>
      <c r="U379" s="226"/>
      <c r="V379" s="227"/>
      <c r="W379" s="226"/>
      <c r="X379" s="227"/>
      <c r="Y379" s="228"/>
      <c r="Z379" s="228"/>
      <c r="AA379" s="228"/>
      <c r="AB379" s="230"/>
      <c r="AC379" s="230"/>
      <c r="AD379" s="230"/>
      <c r="AE379" s="228"/>
      <c r="AF379" s="231"/>
    </row>
    <row r="380" spans="1:32" s="203" customFormat="1">
      <c r="A380" s="222" t="s">
        <v>201</v>
      </c>
      <c r="B380" s="223" t="s">
        <v>524</v>
      </c>
      <c r="C380" s="222">
        <v>199740</v>
      </c>
      <c r="D380" s="238">
        <v>9</v>
      </c>
      <c r="E380" s="225">
        <f t="shared" si="22"/>
        <v>79719.3</v>
      </c>
      <c r="F380" s="229">
        <f t="shared" si="23"/>
        <v>84329.999999999985</v>
      </c>
      <c r="G380" s="226">
        <v>41919.9</v>
      </c>
      <c r="H380" s="227">
        <v>34632.600000000006</v>
      </c>
      <c r="I380" s="226">
        <v>12373.2</v>
      </c>
      <c r="J380" s="221">
        <v>12827.699999999999</v>
      </c>
      <c r="K380" s="228">
        <v>17413.5</v>
      </c>
      <c r="L380" s="228">
        <v>2546.6999999999998</v>
      </c>
      <c r="M380" s="228">
        <v>5466</v>
      </c>
      <c r="N380" s="377">
        <v>24630.6</v>
      </c>
      <c r="O380" s="377">
        <v>4391.3999999999996</v>
      </c>
      <c r="P380" s="377">
        <v>7847.6999999999989</v>
      </c>
      <c r="Q380" s="228"/>
      <c r="R380" s="227"/>
      <c r="S380" s="225">
        <f t="shared" si="24"/>
        <v>0</v>
      </c>
      <c r="T380" s="229">
        <f t="shared" si="25"/>
        <v>0</v>
      </c>
      <c r="U380" s="226"/>
      <c r="V380" s="227"/>
      <c r="W380" s="226"/>
      <c r="X380" s="227"/>
      <c r="Y380" s="228"/>
      <c r="Z380" s="228"/>
      <c r="AA380" s="228"/>
      <c r="AB380" s="230"/>
      <c r="AC380" s="230"/>
      <c r="AD380" s="230"/>
      <c r="AE380" s="228"/>
      <c r="AF380" s="231"/>
    </row>
    <row r="381" spans="1:32" s="203" customFormat="1">
      <c r="A381" s="222" t="s">
        <v>201</v>
      </c>
      <c r="B381" s="223" t="s">
        <v>525</v>
      </c>
      <c r="C381" s="222">
        <v>199768</v>
      </c>
      <c r="D381" s="238">
        <v>9</v>
      </c>
      <c r="E381" s="225">
        <f t="shared" si="22"/>
        <v>101884.20000000001</v>
      </c>
      <c r="F381" s="229">
        <f t="shared" si="23"/>
        <v>111750.00000000001</v>
      </c>
      <c r="G381" s="226">
        <v>79381.8</v>
      </c>
      <c r="H381" s="227">
        <v>84185.700000000012</v>
      </c>
      <c r="I381" s="226">
        <v>11326.8</v>
      </c>
      <c r="J381" s="221">
        <v>10252.799999999999</v>
      </c>
      <c r="K381" s="228">
        <v>9201.6</v>
      </c>
      <c r="L381" s="228">
        <v>710.7</v>
      </c>
      <c r="M381" s="228">
        <v>1263.3</v>
      </c>
      <c r="N381" s="377">
        <v>13817.999999999998</v>
      </c>
      <c r="O381" s="377">
        <v>902.7</v>
      </c>
      <c r="P381" s="377">
        <v>2590.8000000000002</v>
      </c>
      <c r="Q381" s="228"/>
      <c r="R381" s="227"/>
      <c r="S381" s="225">
        <f t="shared" si="24"/>
        <v>0</v>
      </c>
      <c r="T381" s="229">
        <f t="shared" si="25"/>
        <v>0</v>
      </c>
      <c r="U381" s="226"/>
      <c r="V381" s="227"/>
      <c r="W381" s="226"/>
      <c r="X381" s="227"/>
      <c r="Y381" s="228"/>
      <c r="Z381" s="228"/>
      <c r="AA381" s="228"/>
      <c r="AB381" s="230"/>
      <c r="AC381" s="230"/>
      <c r="AD381" s="230"/>
      <c r="AE381" s="228"/>
      <c r="AF381" s="231"/>
    </row>
    <row r="382" spans="1:32" s="203" customFormat="1">
      <c r="A382" s="222" t="s">
        <v>201</v>
      </c>
      <c r="B382" s="223" t="s">
        <v>527</v>
      </c>
      <c r="C382" s="222">
        <v>199838</v>
      </c>
      <c r="D382" s="238">
        <v>9</v>
      </c>
      <c r="E382" s="225">
        <f t="shared" si="22"/>
        <v>138787.80000000002</v>
      </c>
      <c r="F382" s="229">
        <f t="shared" si="23"/>
        <v>142620</v>
      </c>
      <c r="G382" s="226">
        <v>88932.3</v>
      </c>
      <c r="H382" s="227">
        <v>88399.8</v>
      </c>
      <c r="I382" s="226">
        <v>33076.199999999997</v>
      </c>
      <c r="J382" s="221">
        <v>29888.1</v>
      </c>
      <c r="K382" s="228">
        <v>13517.7</v>
      </c>
      <c r="L382" s="228">
        <v>1171.2</v>
      </c>
      <c r="M382" s="228">
        <v>2090.4</v>
      </c>
      <c r="N382" s="377">
        <v>19469.099999999999</v>
      </c>
      <c r="O382" s="377">
        <v>965.69999999999993</v>
      </c>
      <c r="P382" s="377">
        <v>3897.2999999999997</v>
      </c>
      <c r="Q382" s="228"/>
      <c r="R382" s="227"/>
      <c r="S382" s="225">
        <f t="shared" si="24"/>
        <v>0</v>
      </c>
      <c r="T382" s="229">
        <f t="shared" si="25"/>
        <v>0</v>
      </c>
      <c r="U382" s="226"/>
      <c r="V382" s="227"/>
      <c r="W382" s="226"/>
      <c r="X382" s="227"/>
      <c r="Y382" s="228"/>
      <c r="Z382" s="228"/>
      <c r="AA382" s="228"/>
      <c r="AB382" s="230"/>
      <c r="AC382" s="230"/>
      <c r="AD382" s="230"/>
      <c r="AE382" s="228"/>
      <c r="AF382" s="231"/>
    </row>
    <row r="383" spans="1:32" s="203" customFormat="1">
      <c r="A383" s="222" t="s">
        <v>201</v>
      </c>
      <c r="B383" s="223" t="s">
        <v>529</v>
      </c>
      <c r="C383" s="222">
        <v>199892</v>
      </c>
      <c r="D383" s="238">
        <v>9</v>
      </c>
      <c r="E383" s="225">
        <f t="shared" si="22"/>
        <v>113109.9</v>
      </c>
      <c r="F383" s="229">
        <f t="shared" si="23"/>
        <v>118650</v>
      </c>
      <c r="G383" s="226">
        <v>73732.2</v>
      </c>
      <c r="H383" s="227">
        <v>68060.399999999994</v>
      </c>
      <c r="I383" s="226">
        <v>23608.799999999999</v>
      </c>
      <c r="J383" s="221">
        <v>23259.600000000002</v>
      </c>
      <c r="K383" s="228">
        <v>11180.4</v>
      </c>
      <c r="L383" s="228">
        <v>0</v>
      </c>
      <c r="M383" s="228">
        <v>4588.5</v>
      </c>
      <c r="N383" s="377">
        <v>17809.2</v>
      </c>
      <c r="O383" s="377">
        <v>0</v>
      </c>
      <c r="P383" s="377">
        <v>9520.8000000000011</v>
      </c>
      <c r="Q383" s="228"/>
      <c r="R383" s="227"/>
      <c r="S383" s="225">
        <f t="shared" si="24"/>
        <v>0</v>
      </c>
      <c r="T383" s="229">
        <f t="shared" si="25"/>
        <v>0</v>
      </c>
      <c r="U383" s="226"/>
      <c r="V383" s="227"/>
      <c r="W383" s="226"/>
      <c r="X383" s="227"/>
      <c r="Y383" s="228"/>
      <c r="Z383" s="228"/>
      <c r="AA383" s="228"/>
      <c r="AB383" s="230"/>
      <c r="AC383" s="230"/>
      <c r="AD383" s="230"/>
      <c r="AE383" s="228"/>
      <c r="AF383" s="231"/>
    </row>
    <row r="384" spans="1:32" s="203" customFormat="1">
      <c r="A384" s="222" t="s">
        <v>201</v>
      </c>
      <c r="B384" s="223" t="s">
        <v>530</v>
      </c>
      <c r="C384" s="222">
        <v>199908</v>
      </c>
      <c r="D384" s="235">
        <v>9</v>
      </c>
      <c r="E384" s="225">
        <f t="shared" si="22"/>
        <v>100945.8</v>
      </c>
      <c r="F384" s="229">
        <f t="shared" si="23"/>
        <v>105330</v>
      </c>
      <c r="G384" s="226">
        <v>67119.600000000006</v>
      </c>
      <c r="H384" s="227">
        <v>65201.1</v>
      </c>
      <c r="I384" s="226">
        <v>17107.5</v>
      </c>
      <c r="J384" s="221">
        <v>19563.900000000001</v>
      </c>
      <c r="K384" s="228">
        <v>11340.3</v>
      </c>
      <c r="L384" s="228">
        <v>0</v>
      </c>
      <c r="M384" s="228">
        <v>5378.4</v>
      </c>
      <c r="N384" s="377">
        <v>13385.399999999998</v>
      </c>
      <c r="O384" s="377">
        <v>0</v>
      </c>
      <c r="P384" s="377">
        <v>7179.5999999999995</v>
      </c>
      <c r="Q384" s="228"/>
      <c r="R384" s="227"/>
      <c r="S384" s="225">
        <f t="shared" si="24"/>
        <v>0</v>
      </c>
      <c r="T384" s="229">
        <f t="shared" si="25"/>
        <v>0</v>
      </c>
      <c r="U384" s="226"/>
      <c r="V384" s="227"/>
      <c r="W384" s="226"/>
      <c r="X384" s="227"/>
      <c r="Y384" s="228"/>
      <c r="Z384" s="228"/>
      <c r="AA384" s="228"/>
      <c r="AB384" s="230"/>
      <c r="AC384" s="230"/>
      <c r="AD384" s="230"/>
      <c r="AE384" s="228"/>
      <c r="AF384" s="231"/>
    </row>
    <row r="385" spans="1:32" s="203" customFormat="1">
      <c r="A385" s="222" t="s">
        <v>201</v>
      </c>
      <c r="B385" s="223" t="s">
        <v>531</v>
      </c>
      <c r="C385" s="222">
        <v>199926</v>
      </c>
      <c r="D385" s="235">
        <v>9</v>
      </c>
      <c r="E385" s="225">
        <f t="shared" si="22"/>
        <v>89556.300000000017</v>
      </c>
      <c r="F385" s="229">
        <f t="shared" si="23"/>
        <v>90810</v>
      </c>
      <c r="G385" s="226">
        <v>61203</v>
      </c>
      <c r="H385" s="227">
        <v>60247.5</v>
      </c>
      <c r="I385" s="226">
        <v>18080.099999999999</v>
      </c>
      <c r="J385" s="221">
        <v>17682.899999999998</v>
      </c>
      <c r="K385" s="228">
        <v>5495.1</v>
      </c>
      <c r="L385" s="228">
        <v>3102</v>
      </c>
      <c r="M385" s="228">
        <v>1676.1</v>
      </c>
      <c r="N385" s="377">
        <v>6798.6</v>
      </c>
      <c r="O385" s="377">
        <v>3313.2</v>
      </c>
      <c r="P385" s="377">
        <v>2767.7999999999997</v>
      </c>
      <c r="Q385" s="228"/>
      <c r="R385" s="227"/>
      <c r="S385" s="225">
        <f t="shared" si="24"/>
        <v>0</v>
      </c>
      <c r="T385" s="229">
        <f t="shared" si="25"/>
        <v>0</v>
      </c>
      <c r="U385" s="226"/>
      <c r="V385" s="227"/>
      <c r="W385" s="226"/>
      <c r="X385" s="227"/>
      <c r="Y385" s="228"/>
      <c r="Z385" s="228"/>
      <c r="AA385" s="228"/>
      <c r="AB385" s="230"/>
      <c r="AC385" s="230"/>
      <c r="AD385" s="230"/>
      <c r="AE385" s="228"/>
      <c r="AF385" s="231"/>
    </row>
    <row r="386" spans="1:32" s="203" customFormat="1">
      <c r="A386" s="222" t="s">
        <v>201</v>
      </c>
      <c r="B386" s="223" t="s">
        <v>532</v>
      </c>
      <c r="C386" s="222">
        <v>199953</v>
      </c>
      <c r="D386" s="224">
        <v>9</v>
      </c>
      <c r="E386" s="225">
        <f t="shared" si="22"/>
        <v>72735.600000000006</v>
      </c>
      <c r="F386" s="229">
        <f t="shared" si="23"/>
        <v>72210</v>
      </c>
      <c r="G386" s="226">
        <v>47212.9</v>
      </c>
      <c r="H386" s="227">
        <v>44114.7</v>
      </c>
      <c r="I386" s="226">
        <v>10203.299999999999</v>
      </c>
      <c r="J386" s="221">
        <v>10919.7</v>
      </c>
      <c r="K386" s="228">
        <v>7886.4</v>
      </c>
      <c r="L386" s="228">
        <v>0</v>
      </c>
      <c r="M386" s="228">
        <v>7433</v>
      </c>
      <c r="N386" s="377">
        <v>9634.8000000000011</v>
      </c>
      <c r="O386" s="377">
        <v>0</v>
      </c>
      <c r="P386" s="377">
        <v>7540.7999999999993</v>
      </c>
      <c r="Q386" s="228"/>
      <c r="R386" s="227"/>
      <c r="S386" s="225">
        <f t="shared" si="24"/>
        <v>0</v>
      </c>
      <c r="T386" s="229">
        <f t="shared" si="25"/>
        <v>0</v>
      </c>
      <c r="U386" s="226"/>
      <c r="V386" s="227"/>
      <c r="W386" s="226"/>
      <c r="X386" s="227"/>
      <c r="Y386" s="228"/>
      <c r="Z386" s="228"/>
      <c r="AA386" s="228"/>
      <c r="AB386" s="230"/>
      <c r="AC386" s="230"/>
      <c r="AD386" s="230"/>
      <c r="AE386" s="228"/>
      <c r="AF386" s="231"/>
    </row>
    <row r="387" spans="1:32" s="203" customFormat="1">
      <c r="A387" s="222" t="s">
        <v>201</v>
      </c>
      <c r="B387" s="280" t="s">
        <v>477</v>
      </c>
      <c r="C387" s="234">
        <v>197966</v>
      </c>
      <c r="D387" s="498">
        <v>10</v>
      </c>
      <c r="E387" s="225">
        <f t="shared" si="22"/>
        <v>56272.200000000004</v>
      </c>
      <c r="F387" s="229">
        <f t="shared" si="23"/>
        <v>58379.999999999993</v>
      </c>
      <c r="G387" s="226">
        <v>33920.1</v>
      </c>
      <c r="H387" s="227">
        <v>35550</v>
      </c>
      <c r="I387" s="226">
        <v>13483.2</v>
      </c>
      <c r="J387" s="221">
        <v>11321.699999999999</v>
      </c>
      <c r="K387" s="228">
        <v>4203</v>
      </c>
      <c r="L387" s="228">
        <v>0</v>
      </c>
      <c r="M387" s="228">
        <v>4665.8999999999996</v>
      </c>
      <c r="N387" s="377">
        <v>5519.1</v>
      </c>
      <c r="O387" s="377">
        <v>0</v>
      </c>
      <c r="P387" s="377">
        <v>5989.2</v>
      </c>
      <c r="Q387" s="228"/>
      <c r="R387" s="227"/>
      <c r="S387" s="225">
        <f t="shared" si="24"/>
        <v>0</v>
      </c>
      <c r="T387" s="229">
        <f t="shared" si="25"/>
        <v>0</v>
      </c>
      <c r="U387" s="226"/>
      <c r="V387" s="227"/>
      <c r="W387" s="226"/>
      <c r="X387" s="227"/>
      <c r="Y387" s="228"/>
      <c r="Z387" s="228"/>
      <c r="AA387" s="228"/>
      <c r="AB387" s="230"/>
      <c r="AC387" s="230"/>
      <c r="AD387" s="230"/>
      <c r="AE387" s="228"/>
      <c r="AF387" s="231"/>
    </row>
    <row r="388" spans="1:32" s="203" customFormat="1">
      <c r="A388" s="222" t="s">
        <v>201</v>
      </c>
      <c r="B388" s="223" t="s">
        <v>478</v>
      </c>
      <c r="C388" s="222">
        <v>198011</v>
      </c>
      <c r="D388" s="224">
        <v>10</v>
      </c>
      <c r="E388" s="225">
        <f t="shared" si="22"/>
        <v>44015.700000000012</v>
      </c>
      <c r="F388" s="229">
        <f t="shared" si="23"/>
        <v>46830.000000000007</v>
      </c>
      <c r="G388" s="226">
        <v>25665.9</v>
      </c>
      <c r="H388" s="227">
        <v>27269.4</v>
      </c>
      <c r="I388" s="226">
        <v>6267.9</v>
      </c>
      <c r="J388" s="221">
        <v>4753.8</v>
      </c>
      <c r="K388" s="228">
        <v>5176.8</v>
      </c>
      <c r="L388" s="228">
        <v>597.29999999999995</v>
      </c>
      <c r="M388" s="228">
        <v>6307.8</v>
      </c>
      <c r="N388" s="377">
        <v>8501.4000000000015</v>
      </c>
      <c r="O388" s="377">
        <v>1155.9000000000001</v>
      </c>
      <c r="P388" s="377">
        <v>5149.5</v>
      </c>
      <c r="Q388" s="228"/>
      <c r="R388" s="227"/>
      <c r="S388" s="225">
        <f t="shared" si="24"/>
        <v>0</v>
      </c>
      <c r="T388" s="229">
        <f t="shared" si="25"/>
        <v>0</v>
      </c>
      <c r="U388" s="226"/>
      <c r="V388" s="227"/>
      <c r="W388" s="226"/>
      <c r="X388" s="227"/>
      <c r="Y388" s="228"/>
      <c r="Z388" s="228"/>
      <c r="AA388" s="228"/>
      <c r="AB388" s="230"/>
      <c r="AC388" s="230"/>
      <c r="AD388" s="230"/>
      <c r="AE388" s="228"/>
      <c r="AF388" s="231"/>
    </row>
    <row r="389" spans="1:32" s="203" customFormat="1">
      <c r="A389" s="222" t="s">
        <v>201</v>
      </c>
      <c r="B389" s="223" t="s">
        <v>480</v>
      </c>
      <c r="C389" s="222">
        <v>198084</v>
      </c>
      <c r="D389" s="238">
        <v>10</v>
      </c>
      <c r="E389" s="225">
        <f t="shared" si="22"/>
        <v>47797.5</v>
      </c>
      <c r="F389" s="229">
        <f t="shared" si="23"/>
        <v>49949.999999999993</v>
      </c>
      <c r="G389" s="226">
        <v>33648.9</v>
      </c>
      <c r="H389" s="227">
        <v>35153.699999999997</v>
      </c>
      <c r="I389" s="226">
        <v>4956.6000000000004</v>
      </c>
      <c r="J389" s="221">
        <v>6559.2</v>
      </c>
      <c r="K389" s="228">
        <v>3069.9</v>
      </c>
      <c r="L389" s="228">
        <v>231.6</v>
      </c>
      <c r="M389" s="228">
        <v>5890.5</v>
      </c>
      <c r="N389" s="377">
        <v>3974.3999999999996</v>
      </c>
      <c r="O389" s="377">
        <v>444.6</v>
      </c>
      <c r="P389" s="377">
        <v>3818.1</v>
      </c>
      <c r="Q389" s="228"/>
      <c r="R389" s="227"/>
      <c r="S389" s="225">
        <f t="shared" si="24"/>
        <v>0</v>
      </c>
      <c r="T389" s="229">
        <f t="shared" si="25"/>
        <v>0</v>
      </c>
      <c r="U389" s="226"/>
      <c r="V389" s="227"/>
      <c r="W389" s="226"/>
      <c r="X389" s="227"/>
      <c r="Y389" s="228"/>
      <c r="Z389" s="228"/>
      <c r="AA389" s="228"/>
      <c r="AB389" s="230"/>
      <c r="AC389" s="230"/>
      <c r="AD389" s="230"/>
      <c r="AE389" s="228"/>
      <c r="AF389" s="231"/>
    </row>
    <row r="390" spans="1:32" s="203" customFormat="1">
      <c r="A390" s="222" t="s">
        <v>201</v>
      </c>
      <c r="B390" s="223" t="s">
        <v>483</v>
      </c>
      <c r="C390" s="222">
        <v>198206</v>
      </c>
      <c r="D390" s="235">
        <v>10</v>
      </c>
      <c r="E390" s="225">
        <f t="shared" ref="E390:E453" si="26">SUM(G390,I390,K390,L390,M390,Q390)</f>
        <v>58101.599999999991</v>
      </c>
      <c r="F390" s="229">
        <f t="shared" ref="F390:F453" si="27">SUM(H390,J390,N390,O390,P390,R390)</f>
        <v>59820</v>
      </c>
      <c r="G390" s="226">
        <v>37712.1</v>
      </c>
      <c r="H390" s="227">
        <v>38489.100000000006</v>
      </c>
      <c r="I390" s="226">
        <v>8956.7999999999993</v>
      </c>
      <c r="J390" s="221">
        <v>9530.7000000000007</v>
      </c>
      <c r="K390" s="228">
        <v>8039.7</v>
      </c>
      <c r="L390" s="228">
        <v>0</v>
      </c>
      <c r="M390" s="228">
        <v>3393</v>
      </c>
      <c r="N390" s="377">
        <v>8880.5999999999985</v>
      </c>
      <c r="O390" s="377">
        <v>0</v>
      </c>
      <c r="P390" s="377">
        <v>2919.6</v>
      </c>
      <c r="Q390" s="228"/>
      <c r="R390" s="227"/>
      <c r="S390" s="225">
        <f t="shared" ref="S390:S453" si="28">SUM(U390,W390,Y390,Z390,AA390,AE390)</f>
        <v>0</v>
      </c>
      <c r="T390" s="229">
        <f t="shared" ref="T390:T453" si="29">SUM(V390,X390,AB390,AC390,AD390,AF390)</f>
        <v>0</v>
      </c>
      <c r="U390" s="226"/>
      <c r="V390" s="227"/>
      <c r="W390" s="226"/>
      <c r="X390" s="227"/>
      <c r="Y390" s="228"/>
      <c r="Z390" s="228"/>
      <c r="AA390" s="228"/>
      <c r="AB390" s="230"/>
      <c r="AC390" s="230"/>
      <c r="AD390" s="230"/>
      <c r="AE390" s="228"/>
      <c r="AF390" s="231"/>
    </row>
    <row r="391" spans="1:32" s="203" customFormat="1">
      <c r="A391" s="222" t="s">
        <v>201</v>
      </c>
      <c r="B391" s="223" t="s">
        <v>498</v>
      </c>
      <c r="C391" s="222">
        <v>198640</v>
      </c>
      <c r="D391" s="235">
        <v>10</v>
      </c>
      <c r="E391" s="225">
        <f t="shared" si="26"/>
        <v>49272.600000000013</v>
      </c>
      <c r="F391" s="229">
        <f t="shared" si="27"/>
        <v>50669.999999999993</v>
      </c>
      <c r="G391" s="226">
        <v>28733.4</v>
      </c>
      <c r="H391" s="227">
        <v>28440</v>
      </c>
      <c r="I391" s="226">
        <v>11291.7</v>
      </c>
      <c r="J391" s="221">
        <v>11560.5</v>
      </c>
      <c r="K391" s="228">
        <v>5759.4</v>
      </c>
      <c r="L391" s="228">
        <v>85.8</v>
      </c>
      <c r="M391" s="228">
        <v>3402.3</v>
      </c>
      <c r="N391" s="377">
        <v>5321.7000000000007</v>
      </c>
      <c r="O391" s="377">
        <v>275.7</v>
      </c>
      <c r="P391" s="377">
        <v>5072.0999999999995</v>
      </c>
      <c r="Q391" s="228"/>
      <c r="R391" s="227"/>
      <c r="S391" s="225">
        <f t="shared" si="28"/>
        <v>0</v>
      </c>
      <c r="T391" s="229">
        <f t="shared" si="29"/>
        <v>0</v>
      </c>
      <c r="U391" s="226"/>
      <c r="V391" s="227"/>
      <c r="W391" s="226"/>
      <c r="X391" s="227"/>
      <c r="Y391" s="228"/>
      <c r="Z391" s="228"/>
      <c r="AA391" s="228"/>
      <c r="AB391" s="230"/>
      <c r="AC391" s="230"/>
      <c r="AD391" s="230"/>
      <c r="AE391" s="228"/>
      <c r="AF391" s="231"/>
    </row>
    <row r="392" spans="1:32" s="203" customFormat="1">
      <c r="A392" s="222" t="s">
        <v>201</v>
      </c>
      <c r="B392" s="223" t="s">
        <v>501</v>
      </c>
      <c r="C392" s="222">
        <v>198729</v>
      </c>
      <c r="D392" s="235">
        <v>10</v>
      </c>
      <c r="E392" s="225">
        <f t="shared" si="26"/>
        <v>43484.100000000006</v>
      </c>
      <c r="F392" s="229">
        <f t="shared" si="27"/>
        <v>44010.000000000007</v>
      </c>
      <c r="G392" s="226">
        <v>31285.8</v>
      </c>
      <c r="H392" s="227">
        <v>31508.1</v>
      </c>
      <c r="I392" s="226">
        <v>9052.5</v>
      </c>
      <c r="J392" s="221">
        <v>8679.9000000000015</v>
      </c>
      <c r="K392" s="228">
        <v>1429.2</v>
      </c>
      <c r="L392" s="228">
        <v>357.3</v>
      </c>
      <c r="M392" s="228">
        <v>1359.3</v>
      </c>
      <c r="N392" s="377">
        <v>1981.8000000000002</v>
      </c>
      <c r="O392" s="377">
        <v>354.3</v>
      </c>
      <c r="P392" s="377">
        <v>1485.9</v>
      </c>
      <c r="Q392" s="228"/>
      <c r="R392" s="227"/>
      <c r="S392" s="225">
        <f t="shared" si="28"/>
        <v>0</v>
      </c>
      <c r="T392" s="229">
        <f t="shared" si="29"/>
        <v>0</v>
      </c>
      <c r="U392" s="226"/>
      <c r="V392" s="227"/>
      <c r="W392" s="226"/>
      <c r="X392" s="227"/>
      <c r="Y392" s="228"/>
      <c r="Z392" s="228"/>
      <c r="AA392" s="228"/>
      <c r="AB392" s="230"/>
      <c r="AC392" s="230"/>
      <c r="AD392" s="230"/>
      <c r="AE392" s="228"/>
      <c r="AF392" s="231"/>
    </row>
    <row r="393" spans="1:32" s="203" customFormat="1">
      <c r="A393" s="222" t="s">
        <v>201</v>
      </c>
      <c r="B393" s="223" t="s">
        <v>504</v>
      </c>
      <c r="C393" s="222">
        <v>198905</v>
      </c>
      <c r="D393" s="235">
        <v>10</v>
      </c>
      <c r="E393" s="225">
        <f t="shared" si="26"/>
        <v>30196.2</v>
      </c>
      <c r="F393" s="229">
        <f t="shared" si="27"/>
        <v>27180</v>
      </c>
      <c r="G393" s="226">
        <v>14376.9</v>
      </c>
      <c r="H393" s="227">
        <v>17253.3</v>
      </c>
      <c r="I393" s="226">
        <v>8318.4</v>
      </c>
      <c r="J393" s="221">
        <v>6711.9000000000005</v>
      </c>
      <c r="K393" s="228">
        <v>3499.8</v>
      </c>
      <c r="L393" s="228">
        <v>92.7</v>
      </c>
      <c r="M393" s="228">
        <v>3908.4</v>
      </c>
      <c r="N393" s="377">
        <v>1623.3</v>
      </c>
      <c r="O393" s="377">
        <v>95.1</v>
      </c>
      <c r="P393" s="377">
        <v>1496.4</v>
      </c>
      <c r="Q393" s="228"/>
      <c r="R393" s="227"/>
      <c r="S393" s="225">
        <f t="shared" si="28"/>
        <v>0</v>
      </c>
      <c r="T393" s="229">
        <f t="shared" si="29"/>
        <v>0</v>
      </c>
      <c r="U393" s="226"/>
      <c r="V393" s="227"/>
      <c r="W393" s="226"/>
      <c r="X393" s="227"/>
      <c r="Y393" s="228"/>
      <c r="Z393" s="228"/>
      <c r="AA393" s="228"/>
      <c r="AB393" s="230"/>
      <c r="AC393" s="230"/>
      <c r="AD393" s="230"/>
      <c r="AE393" s="228"/>
      <c r="AF393" s="231"/>
    </row>
    <row r="394" spans="1:32" s="203" customFormat="1">
      <c r="A394" s="222" t="s">
        <v>201</v>
      </c>
      <c r="B394" s="223" t="s">
        <v>506</v>
      </c>
      <c r="C394" s="222">
        <v>198923</v>
      </c>
      <c r="D394" s="224">
        <v>10</v>
      </c>
      <c r="E394" s="225">
        <f t="shared" si="26"/>
        <v>42169.2</v>
      </c>
      <c r="F394" s="229">
        <f t="shared" si="27"/>
        <v>45840</v>
      </c>
      <c r="G394" s="226">
        <v>29564.7</v>
      </c>
      <c r="H394" s="227">
        <v>31977.3</v>
      </c>
      <c r="I394" s="226">
        <v>9147.9</v>
      </c>
      <c r="J394" s="221">
        <v>9681.6</v>
      </c>
      <c r="K394" s="228">
        <v>1142.0999999999999</v>
      </c>
      <c r="L394" s="228">
        <v>101.4</v>
      </c>
      <c r="M394" s="228">
        <v>2213.1</v>
      </c>
      <c r="N394" s="377">
        <v>1885.2</v>
      </c>
      <c r="O394" s="377">
        <v>113.39999999999999</v>
      </c>
      <c r="P394" s="377">
        <v>2182.5</v>
      </c>
      <c r="Q394" s="228"/>
      <c r="R394" s="227"/>
      <c r="S394" s="225">
        <f t="shared" si="28"/>
        <v>0</v>
      </c>
      <c r="T394" s="229">
        <f t="shared" si="29"/>
        <v>0</v>
      </c>
      <c r="U394" s="226"/>
      <c r="V394" s="227"/>
      <c r="W394" s="226"/>
      <c r="X394" s="227"/>
      <c r="Y394" s="228"/>
      <c r="Z394" s="228"/>
      <c r="AA394" s="228"/>
      <c r="AB394" s="230"/>
      <c r="AC394" s="230"/>
      <c r="AD394" s="230"/>
      <c r="AE394" s="228"/>
      <c r="AF394" s="231"/>
    </row>
    <row r="395" spans="1:32" s="203" customFormat="1">
      <c r="A395" s="222" t="s">
        <v>201</v>
      </c>
      <c r="B395" s="223" t="s">
        <v>508</v>
      </c>
      <c r="C395" s="222">
        <v>199023</v>
      </c>
      <c r="D395" s="224">
        <v>10</v>
      </c>
      <c r="E395" s="225">
        <f t="shared" si="26"/>
        <v>34034.400000000001</v>
      </c>
      <c r="F395" s="229">
        <f t="shared" si="27"/>
        <v>33570</v>
      </c>
      <c r="G395" s="226">
        <v>23069.1</v>
      </c>
      <c r="H395" s="227">
        <v>21400.2</v>
      </c>
      <c r="I395" s="226">
        <v>6082.2</v>
      </c>
      <c r="J395" s="221">
        <v>6296.9999999999991</v>
      </c>
      <c r="K395" s="228">
        <v>2909.4</v>
      </c>
      <c r="L395" s="228">
        <v>381</v>
      </c>
      <c r="M395" s="228">
        <v>1592.7</v>
      </c>
      <c r="N395" s="377">
        <v>3159.6</v>
      </c>
      <c r="O395" s="377">
        <v>570</v>
      </c>
      <c r="P395" s="377">
        <v>2143.1999999999998</v>
      </c>
      <c r="Q395" s="228"/>
      <c r="R395" s="227"/>
      <c r="S395" s="225">
        <f t="shared" si="28"/>
        <v>0</v>
      </c>
      <c r="T395" s="229">
        <f t="shared" si="29"/>
        <v>0</v>
      </c>
      <c r="U395" s="226"/>
      <c r="V395" s="227"/>
      <c r="W395" s="226"/>
      <c r="X395" s="227"/>
      <c r="Y395" s="228"/>
      <c r="Z395" s="228"/>
      <c r="AA395" s="228"/>
      <c r="AB395" s="230"/>
      <c r="AC395" s="230"/>
      <c r="AD395" s="230"/>
      <c r="AE395" s="228"/>
      <c r="AF395" s="231"/>
    </row>
    <row r="396" spans="1:32" s="203" customFormat="1">
      <c r="A396" s="222" t="s">
        <v>201</v>
      </c>
      <c r="B396" s="223" t="s">
        <v>510</v>
      </c>
      <c r="C396" s="222">
        <v>199263</v>
      </c>
      <c r="D396" s="224">
        <v>10</v>
      </c>
      <c r="E396" s="225">
        <f t="shared" si="26"/>
        <v>17378.100000000002</v>
      </c>
      <c r="F396" s="229">
        <f t="shared" si="27"/>
        <v>17940</v>
      </c>
      <c r="G396" s="226">
        <v>6457.5</v>
      </c>
      <c r="H396" s="227">
        <v>6735.3000000000011</v>
      </c>
      <c r="I396" s="226">
        <v>9062.4</v>
      </c>
      <c r="J396" s="221">
        <v>9111</v>
      </c>
      <c r="K396" s="228">
        <v>1306.5</v>
      </c>
      <c r="L396" s="228">
        <v>48.9</v>
      </c>
      <c r="M396" s="228">
        <v>502.8</v>
      </c>
      <c r="N396" s="377">
        <v>2038.7999999999997</v>
      </c>
      <c r="O396" s="377">
        <v>39.300000000000004</v>
      </c>
      <c r="P396" s="377">
        <v>15.600000000000001</v>
      </c>
      <c r="Q396" s="228"/>
      <c r="R396" s="227"/>
      <c r="S396" s="225">
        <f t="shared" si="28"/>
        <v>0</v>
      </c>
      <c r="T396" s="229">
        <f t="shared" si="29"/>
        <v>0</v>
      </c>
      <c r="U396" s="226"/>
      <c r="V396" s="227"/>
      <c r="W396" s="226"/>
      <c r="X396" s="227"/>
      <c r="Y396" s="228"/>
      <c r="Z396" s="228"/>
      <c r="AA396" s="228"/>
      <c r="AB396" s="230"/>
      <c r="AC396" s="230"/>
      <c r="AD396" s="230"/>
      <c r="AE396" s="228"/>
      <c r="AF396" s="231"/>
    </row>
    <row r="397" spans="1:32" s="203" customFormat="1">
      <c r="A397" s="222" t="s">
        <v>201</v>
      </c>
      <c r="B397" s="223" t="s">
        <v>515</v>
      </c>
      <c r="C397" s="222">
        <v>199467</v>
      </c>
      <c r="D397" s="224">
        <v>10</v>
      </c>
      <c r="E397" s="225">
        <f t="shared" si="26"/>
        <v>28619.4</v>
      </c>
      <c r="F397" s="229">
        <f t="shared" si="27"/>
        <v>29040.000000000004</v>
      </c>
      <c r="G397" s="226">
        <v>18021.900000000001</v>
      </c>
      <c r="H397" s="227">
        <v>15051.6</v>
      </c>
      <c r="I397" s="226">
        <v>6087.6</v>
      </c>
      <c r="J397" s="221">
        <v>8581.2000000000007</v>
      </c>
      <c r="K397" s="228">
        <v>2978.4</v>
      </c>
      <c r="L397" s="228">
        <v>0</v>
      </c>
      <c r="M397" s="228">
        <v>1531.5</v>
      </c>
      <c r="N397" s="377">
        <v>3444.3</v>
      </c>
      <c r="O397" s="377">
        <v>0</v>
      </c>
      <c r="P397" s="377">
        <v>1962.9</v>
      </c>
      <c r="Q397" s="228"/>
      <c r="R397" s="227"/>
      <c r="S397" s="225">
        <f t="shared" si="28"/>
        <v>0</v>
      </c>
      <c r="T397" s="229">
        <f t="shared" si="29"/>
        <v>0</v>
      </c>
      <c r="U397" s="226"/>
      <c r="V397" s="227"/>
      <c r="W397" s="226"/>
      <c r="X397" s="227"/>
      <c r="Y397" s="228"/>
      <c r="Z397" s="228"/>
      <c r="AA397" s="228"/>
      <c r="AB397" s="230"/>
      <c r="AC397" s="230"/>
      <c r="AD397" s="230"/>
      <c r="AE397" s="228"/>
      <c r="AF397" s="231"/>
    </row>
    <row r="398" spans="1:32" s="203" customFormat="1">
      <c r="A398" s="222" t="s">
        <v>201</v>
      </c>
      <c r="B398" s="223" t="s">
        <v>519</v>
      </c>
      <c r="C398" s="222">
        <v>199625</v>
      </c>
      <c r="D398" s="224">
        <v>10</v>
      </c>
      <c r="E398" s="225">
        <f t="shared" si="26"/>
        <v>54247.499999999993</v>
      </c>
      <c r="F398" s="229">
        <f t="shared" si="27"/>
        <v>57480</v>
      </c>
      <c r="G398" s="226">
        <v>37609.5</v>
      </c>
      <c r="H398" s="227">
        <v>36797.100000000006</v>
      </c>
      <c r="I398" s="226">
        <v>12719.7</v>
      </c>
      <c r="J398" s="221">
        <v>15296.699999999999</v>
      </c>
      <c r="K398" s="228">
        <v>2071.1999999999998</v>
      </c>
      <c r="L398" s="228">
        <v>540</v>
      </c>
      <c r="M398" s="228">
        <v>1307.0999999999999</v>
      </c>
      <c r="N398" s="377">
        <v>2520</v>
      </c>
      <c r="O398" s="377">
        <v>545.69999999999993</v>
      </c>
      <c r="P398" s="377">
        <v>2320.5</v>
      </c>
      <c r="Q398" s="228"/>
      <c r="R398" s="227"/>
      <c r="S398" s="225">
        <f t="shared" si="28"/>
        <v>0</v>
      </c>
      <c r="T398" s="229">
        <f t="shared" si="29"/>
        <v>0</v>
      </c>
      <c r="U398" s="226"/>
      <c r="V398" s="227"/>
      <c r="W398" s="226"/>
      <c r="X398" s="227"/>
      <c r="Y398" s="228"/>
      <c r="Z398" s="228"/>
      <c r="AA398" s="228"/>
      <c r="AB398" s="230"/>
      <c r="AC398" s="230"/>
      <c r="AD398" s="230"/>
      <c r="AE398" s="228"/>
      <c r="AF398" s="231"/>
    </row>
    <row r="399" spans="1:32" s="203" customFormat="1">
      <c r="A399" s="222" t="s">
        <v>201</v>
      </c>
      <c r="B399" s="223" t="s">
        <v>526</v>
      </c>
      <c r="C399" s="222">
        <v>199795</v>
      </c>
      <c r="D399" s="224">
        <v>10</v>
      </c>
      <c r="E399" s="225">
        <f t="shared" si="26"/>
        <v>37699.200000000004</v>
      </c>
      <c r="F399" s="229">
        <f t="shared" si="27"/>
        <v>34800</v>
      </c>
      <c r="G399" s="226">
        <v>21025.5</v>
      </c>
      <c r="H399" s="227">
        <v>20501.7</v>
      </c>
      <c r="I399" s="226">
        <v>11531.7</v>
      </c>
      <c r="J399" s="221">
        <v>6129.3</v>
      </c>
      <c r="K399" s="228">
        <v>2630.1</v>
      </c>
      <c r="L399" s="228">
        <v>78.900000000000006</v>
      </c>
      <c r="M399" s="228">
        <v>2433</v>
      </c>
      <c r="N399" s="377">
        <v>4096.5</v>
      </c>
      <c r="O399" s="377">
        <v>522.29999999999995</v>
      </c>
      <c r="P399" s="377">
        <v>3550.2000000000003</v>
      </c>
      <c r="Q399" s="228"/>
      <c r="R399" s="227"/>
      <c r="S399" s="225">
        <f t="shared" si="28"/>
        <v>0</v>
      </c>
      <c r="T399" s="229">
        <f t="shared" si="29"/>
        <v>0</v>
      </c>
      <c r="U399" s="226"/>
      <c r="V399" s="227"/>
      <c r="W399" s="226"/>
      <c r="X399" s="227"/>
      <c r="Y399" s="228"/>
      <c r="Z399" s="228"/>
      <c r="AA399" s="228"/>
      <c r="AB399" s="230"/>
      <c r="AC399" s="230"/>
      <c r="AD399" s="230"/>
      <c r="AE399" s="228"/>
      <c r="AF399" s="231"/>
    </row>
    <row r="400" spans="1:32" s="203" customFormat="1">
      <c r="A400" s="241" t="s">
        <v>201</v>
      </c>
      <c r="B400" s="281" t="s">
        <v>547</v>
      </c>
      <c r="C400" s="241">
        <v>199184</v>
      </c>
      <c r="D400" s="375">
        <v>15</v>
      </c>
      <c r="E400" s="225">
        <f t="shared" si="26"/>
        <v>0</v>
      </c>
      <c r="F400" s="229">
        <f t="shared" si="27"/>
        <v>0</v>
      </c>
      <c r="G400" s="226"/>
      <c r="H400" s="201"/>
      <c r="I400" s="226"/>
      <c r="J400" s="201"/>
      <c r="K400" s="228"/>
      <c r="L400" s="228"/>
      <c r="M400" s="228"/>
      <c r="N400" s="202"/>
      <c r="O400" s="202"/>
      <c r="P400" s="202"/>
      <c r="Q400" s="228"/>
      <c r="R400" s="201"/>
      <c r="S400" s="225">
        <f t="shared" si="28"/>
        <v>0</v>
      </c>
      <c r="T400" s="229">
        <f t="shared" si="29"/>
        <v>0</v>
      </c>
      <c r="U400" s="226"/>
      <c r="V400" s="201"/>
      <c r="W400" s="226"/>
      <c r="X400" s="201"/>
      <c r="Y400" s="228"/>
      <c r="Z400" s="228"/>
      <c r="AA400" s="228"/>
      <c r="AB400" s="202"/>
      <c r="AC400" s="202"/>
      <c r="AD400" s="202"/>
      <c r="AE400" s="228"/>
      <c r="AF400" s="240"/>
    </row>
    <row r="401" spans="1:32" s="203" customFormat="1">
      <c r="A401" s="353" t="s">
        <v>132</v>
      </c>
      <c r="B401" s="352" t="s">
        <v>548</v>
      </c>
      <c r="C401" s="353">
        <v>207388</v>
      </c>
      <c r="D401" s="378">
        <v>1</v>
      </c>
      <c r="E401" s="225">
        <f t="shared" si="26"/>
        <v>509786</v>
      </c>
      <c r="F401" s="229">
        <f t="shared" si="27"/>
        <v>507654</v>
      </c>
      <c r="G401" s="226">
        <v>504301</v>
      </c>
      <c r="H401" s="201">
        <v>484524</v>
      </c>
      <c r="I401" s="226"/>
      <c r="J401" s="201">
        <v>5542</v>
      </c>
      <c r="K401" s="228">
        <v>4979</v>
      </c>
      <c r="L401" s="228">
        <v>8</v>
      </c>
      <c r="M401" s="228">
        <v>82</v>
      </c>
      <c r="N401" s="202">
        <f>10313+6503</f>
        <v>16816</v>
      </c>
      <c r="O401" s="202"/>
      <c r="P401" s="202">
        <f>67+81</f>
        <v>148</v>
      </c>
      <c r="Q401" s="228">
        <v>416</v>
      </c>
      <c r="R401" s="201">
        <f>61+563</f>
        <v>624</v>
      </c>
      <c r="S401" s="225">
        <f t="shared" si="28"/>
        <v>65929</v>
      </c>
      <c r="T401" s="229">
        <f t="shared" si="29"/>
        <v>64375</v>
      </c>
      <c r="U401" s="226">
        <v>63153</v>
      </c>
      <c r="V401" s="201">
        <v>55293</v>
      </c>
      <c r="W401" s="226"/>
      <c r="X401" s="201">
        <v>760</v>
      </c>
      <c r="Y401" s="228">
        <v>2667</v>
      </c>
      <c r="Z401" s="228">
        <v>9</v>
      </c>
      <c r="AA401" s="228">
        <v>60</v>
      </c>
      <c r="AB401" s="202">
        <f>4821+2626</f>
        <v>7447</v>
      </c>
      <c r="AC401" s="202"/>
      <c r="AD401" s="202">
        <f>498+120</f>
        <v>618</v>
      </c>
      <c r="AE401" s="228">
        <v>40</v>
      </c>
      <c r="AF401" s="240">
        <f>190+67</f>
        <v>257</v>
      </c>
    </row>
    <row r="402" spans="1:32" s="203" customFormat="1">
      <c r="A402" s="353" t="s">
        <v>132</v>
      </c>
      <c r="B402" s="352" t="s">
        <v>549</v>
      </c>
      <c r="C402" s="353">
        <v>207500</v>
      </c>
      <c r="D402" s="378">
        <v>1</v>
      </c>
      <c r="E402" s="225">
        <f t="shared" si="26"/>
        <v>560073</v>
      </c>
      <c r="F402" s="229">
        <f t="shared" si="27"/>
        <v>526352</v>
      </c>
      <c r="G402" s="226">
        <v>500431</v>
      </c>
      <c r="H402" s="201">
        <v>487925</v>
      </c>
      <c r="I402" s="226">
        <v>9632</v>
      </c>
      <c r="J402" s="201">
        <v>1121</v>
      </c>
      <c r="K402" s="228">
        <f>6976+38473</f>
        <v>45449</v>
      </c>
      <c r="L402" s="228">
        <f>835+2354</f>
        <v>3189</v>
      </c>
      <c r="M402" s="228">
        <v>222</v>
      </c>
      <c r="N402" s="202">
        <f>2516+33832</f>
        <v>36348</v>
      </c>
      <c r="O402" s="202">
        <v>64</v>
      </c>
      <c r="P402" s="202">
        <v>237</v>
      </c>
      <c r="Q402" s="228">
        <v>1150</v>
      </c>
      <c r="R402" s="201">
        <v>657</v>
      </c>
      <c r="S402" s="225">
        <f t="shared" si="28"/>
        <v>109867</v>
      </c>
      <c r="T402" s="229">
        <f t="shared" si="29"/>
        <v>92761</v>
      </c>
      <c r="U402" s="226">
        <v>51276</v>
      </c>
      <c r="V402" s="201">
        <v>64469</v>
      </c>
      <c r="W402" s="226">
        <v>20487</v>
      </c>
      <c r="X402" s="201">
        <v>18281</v>
      </c>
      <c r="Y402" s="228">
        <f>5480+7853</f>
        <v>13333</v>
      </c>
      <c r="Z402" s="228">
        <f>252+24381</f>
        <v>24633</v>
      </c>
      <c r="AA402" s="228">
        <v>138</v>
      </c>
      <c r="AB402" s="202">
        <f>2796+6573</f>
        <v>9369</v>
      </c>
      <c r="AC402" s="202">
        <v>642</v>
      </c>
      <c r="AD402" s="202"/>
      <c r="AE402" s="228"/>
      <c r="AF402" s="240"/>
    </row>
    <row r="403" spans="1:32" s="203" customFormat="1">
      <c r="A403" s="353" t="s">
        <v>132</v>
      </c>
      <c r="B403" s="352" t="s">
        <v>550</v>
      </c>
      <c r="C403" s="353">
        <v>207263</v>
      </c>
      <c r="D403" s="378">
        <v>3</v>
      </c>
      <c r="E403" s="225">
        <f t="shared" si="26"/>
        <v>206824</v>
      </c>
      <c r="F403" s="229">
        <f t="shared" si="27"/>
        <v>199691</v>
      </c>
      <c r="G403" s="226">
        <v>199139</v>
      </c>
      <c r="H403" s="201">
        <v>183756</v>
      </c>
      <c r="I403" s="226"/>
      <c r="J403" s="201"/>
      <c r="K403" s="228">
        <v>7173</v>
      </c>
      <c r="L403" s="228">
        <v>512</v>
      </c>
      <c r="M403" s="228"/>
      <c r="N403" s="202">
        <v>14831</v>
      </c>
      <c r="O403" s="202">
        <v>1104</v>
      </c>
      <c r="P403" s="202"/>
      <c r="Q403" s="228"/>
      <c r="R403" s="201"/>
      <c r="S403" s="225">
        <f t="shared" si="28"/>
        <v>14330</v>
      </c>
      <c r="T403" s="229">
        <f t="shared" si="29"/>
        <v>17863</v>
      </c>
      <c r="U403" s="226">
        <v>13589</v>
      </c>
      <c r="V403" s="201">
        <v>16603</v>
      </c>
      <c r="W403" s="226"/>
      <c r="X403" s="201"/>
      <c r="Y403" s="228">
        <v>465</v>
      </c>
      <c r="Z403" s="228">
        <v>276</v>
      </c>
      <c r="AA403" s="228"/>
      <c r="AB403" s="202">
        <v>786</v>
      </c>
      <c r="AC403" s="202">
        <v>474</v>
      </c>
      <c r="AD403" s="202"/>
      <c r="AE403" s="228"/>
      <c r="AF403" s="240"/>
    </row>
    <row r="404" spans="1:32" s="203" customFormat="1">
      <c r="A404" s="353" t="s">
        <v>132</v>
      </c>
      <c r="B404" s="352" t="s">
        <v>551</v>
      </c>
      <c r="C404" s="353">
        <v>206941</v>
      </c>
      <c r="D404" s="330">
        <v>3</v>
      </c>
      <c r="E404" s="225">
        <f t="shared" si="26"/>
        <v>324735</v>
      </c>
      <c r="F404" s="229">
        <f t="shared" si="27"/>
        <v>311394</v>
      </c>
      <c r="G404" s="226">
        <v>312245</v>
      </c>
      <c r="H404" s="201">
        <v>293529</v>
      </c>
      <c r="I404" s="226">
        <v>2741</v>
      </c>
      <c r="J404" s="201">
        <v>2773</v>
      </c>
      <c r="K404" s="228">
        <f>6101+307</f>
        <v>6408</v>
      </c>
      <c r="L404" s="228">
        <v>132</v>
      </c>
      <c r="M404" s="228">
        <f>1+3208</f>
        <v>3209</v>
      </c>
      <c r="N404" s="202">
        <f>11019+376</f>
        <v>11395</v>
      </c>
      <c r="O404" s="202">
        <v>297</v>
      </c>
      <c r="P404" s="202">
        <v>3400</v>
      </c>
      <c r="Q404" s="228"/>
      <c r="R404" s="201"/>
      <c r="S404" s="225">
        <f t="shared" si="28"/>
        <v>22791</v>
      </c>
      <c r="T404" s="229">
        <f t="shared" si="29"/>
        <v>20251</v>
      </c>
      <c r="U404" s="226">
        <v>19874</v>
      </c>
      <c r="V404" s="201">
        <v>16494</v>
      </c>
      <c r="W404" s="226">
        <v>769</v>
      </c>
      <c r="X404" s="201">
        <v>618</v>
      </c>
      <c r="Y404" s="228">
        <f>820+39</f>
        <v>859</v>
      </c>
      <c r="Z404" s="228">
        <v>120</v>
      </c>
      <c r="AA404" s="228">
        <v>1169</v>
      </c>
      <c r="AB404" s="202">
        <f>1147+493</f>
        <v>1640</v>
      </c>
      <c r="AC404" s="202">
        <v>121</v>
      </c>
      <c r="AD404" s="202">
        <v>1378</v>
      </c>
      <c r="AE404" s="228"/>
      <c r="AF404" s="240"/>
    </row>
    <row r="405" spans="1:32" s="203" customFormat="1">
      <c r="A405" s="353" t="s">
        <v>132</v>
      </c>
      <c r="B405" s="352" t="s">
        <v>552</v>
      </c>
      <c r="C405" s="353">
        <v>206914</v>
      </c>
      <c r="D405" s="330">
        <v>5</v>
      </c>
      <c r="E405" s="225">
        <f t="shared" si="26"/>
        <v>120115</v>
      </c>
      <c r="F405" s="229">
        <f t="shared" si="27"/>
        <v>118501</v>
      </c>
      <c r="G405" s="226">
        <v>99777</v>
      </c>
      <c r="H405" s="201">
        <v>97161</v>
      </c>
      <c r="I405" s="226"/>
      <c r="J405" s="201"/>
      <c r="K405" s="228">
        <v>10742</v>
      </c>
      <c r="L405" s="228">
        <v>9548</v>
      </c>
      <c r="M405" s="228">
        <v>48</v>
      </c>
      <c r="N405" s="202">
        <v>10710</v>
      </c>
      <c r="O405" s="202">
        <v>10630</v>
      </c>
      <c r="P405" s="202"/>
      <c r="Q405" s="228"/>
      <c r="R405" s="201"/>
      <c r="S405" s="225">
        <f t="shared" si="28"/>
        <v>6549</v>
      </c>
      <c r="T405" s="229">
        <f t="shared" si="29"/>
        <v>5870</v>
      </c>
      <c r="U405" s="226">
        <v>3321</v>
      </c>
      <c r="V405" s="201">
        <v>2768</v>
      </c>
      <c r="W405" s="226"/>
      <c r="X405" s="201"/>
      <c r="Y405" s="228">
        <v>1638</v>
      </c>
      <c r="Z405" s="228">
        <v>1590</v>
      </c>
      <c r="AA405" s="228"/>
      <c r="AB405" s="202">
        <v>1842</v>
      </c>
      <c r="AC405" s="202">
        <v>1260</v>
      </c>
      <c r="AD405" s="202"/>
      <c r="AE405" s="228"/>
      <c r="AF405" s="240"/>
    </row>
    <row r="406" spans="1:32" s="203" customFormat="1">
      <c r="A406" s="353" t="s">
        <v>132</v>
      </c>
      <c r="B406" s="352" t="s">
        <v>553</v>
      </c>
      <c r="C406" s="353">
        <v>207041</v>
      </c>
      <c r="D406" s="354">
        <v>5</v>
      </c>
      <c r="E406" s="225">
        <f t="shared" si="26"/>
        <v>98443</v>
      </c>
      <c r="F406" s="229">
        <f t="shared" si="27"/>
        <v>88708</v>
      </c>
      <c r="G406" s="226">
        <v>86072</v>
      </c>
      <c r="H406" s="201">
        <v>77529</v>
      </c>
      <c r="I406" s="226">
        <v>528</v>
      </c>
      <c r="J406" s="201">
        <v>6</v>
      </c>
      <c r="K406" s="228">
        <f>4655+23</f>
        <v>4678</v>
      </c>
      <c r="L406" s="228">
        <f>760+732</f>
        <v>1492</v>
      </c>
      <c r="M406" s="228">
        <f>41+5632</f>
        <v>5673</v>
      </c>
      <c r="N406" s="202">
        <v>4401</v>
      </c>
      <c r="O406" s="202">
        <f>1374+1295</f>
        <v>2669</v>
      </c>
      <c r="P406" s="202">
        <f>17+4086</f>
        <v>4103</v>
      </c>
      <c r="Q406" s="228"/>
      <c r="R406" s="201"/>
      <c r="S406" s="225">
        <f t="shared" si="28"/>
        <v>13870</v>
      </c>
      <c r="T406" s="229">
        <f t="shared" si="29"/>
        <v>10469</v>
      </c>
      <c r="U406" s="226">
        <v>7459</v>
      </c>
      <c r="V406" s="201">
        <v>5039</v>
      </c>
      <c r="W406" s="226">
        <v>906</v>
      </c>
      <c r="X406" s="201">
        <v>457</v>
      </c>
      <c r="Y406" s="228">
        <f>33+3254</f>
        <v>3287</v>
      </c>
      <c r="Z406" s="228">
        <f>324+1234</f>
        <v>1558</v>
      </c>
      <c r="AA406" s="228">
        <v>660</v>
      </c>
      <c r="AB406" s="202">
        <v>2648</v>
      </c>
      <c r="AC406" s="202">
        <f>513+1068</f>
        <v>1581</v>
      </c>
      <c r="AD406" s="202">
        <f>36+708</f>
        <v>744</v>
      </c>
      <c r="AE406" s="228"/>
      <c r="AF406" s="240"/>
    </row>
    <row r="407" spans="1:32" s="203" customFormat="1">
      <c r="A407" s="353" t="s">
        <v>132</v>
      </c>
      <c r="B407" s="352" t="s">
        <v>554</v>
      </c>
      <c r="C407" s="353">
        <v>207209</v>
      </c>
      <c r="D407" s="330">
        <v>5</v>
      </c>
      <c r="E407" s="225">
        <f t="shared" si="26"/>
        <v>68233</v>
      </c>
      <c r="F407" s="229">
        <f t="shared" si="27"/>
        <v>65157</v>
      </c>
      <c r="G407" s="226">
        <v>68233</v>
      </c>
      <c r="H407" s="201">
        <v>65157</v>
      </c>
      <c r="I407" s="226"/>
      <c r="J407" s="201"/>
      <c r="K407" s="228"/>
      <c r="L407" s="228"/>
      <c r="M407" s="228"/>
      <c r="N407" s="202"/>
      <c r="O407" s="202"/>
      <c r="P407" s="202"/>
      <c r="Q407" s="228"/>
      <c r="R407" s="201"/>
      <c r="S407" s="225">
        <f t="shared" si="28"/>
        <v>4051</v>
      </c>
      <c r="T407" s="229">
        <f t="shared" si="29"/>
        <v>7597</v>
      </c>
      <c r="U407" s="226">
        <v>4051</v>
      </c>
      <c r="V407" s="201">
        <v>7597</v>
      </c>
      <c r="W407" s="226"/>
      <c r="X407" s="201"/>
      <c r="Y407" s="228"/>
      <c r="Z407" s="228"/>
      <c r="AA407" s="228"/>
      <c r="AB407" s="202"/>
      <c r="AC407" s="202"/>
      <c r="AD407" s="202"/>
      <c r="AE407" s="228"/>
      <c r="AF407" s="240"/>
    </row>
    <row r="408" spans="1:32" s="203" customFormat="1">
      <c r="A408" s="353" t="s">
        <v>132</v>
      </c>
      <c r="B408" s="352" t="s">
        <v>555</v>
      </c>
      <c r="C408" s="353">
        <v>207306</v>
      </c>
      <c r="D408" s="378">
        <v>5</v>
      </c>
      <c r="E408" s="225">
        <f t="shared" si="26"/>
        <v>46649</v>
      </c>
      <c r="F408" s="229">
        <f t="shared" si="27"/>
        <v>48494</v>
      </c>
      <c r="G408" s="226">
        <v>34543</v>
      </c>
      <c r="H408" s="201">
        <v>35862</v>
      </c>
      <c r="I408" s="226">
        <v>66</v>
      </c>
      <c r="J408" s="201">
        <v>126</v>
      </c>
      <c r="K408" s="228">
        <v>4673</v>
      </c>
      <c r="L408" s="228">
        <f>67+7135</f>
        <v>7202</v>
      </c>
      <c r="M408" s="228">
        <v>165</v>
      </c>
      <c r="N408" s="202">
        <v>5358</v>
      </c>
      <c r="O408" s="202">
        <f>129+6896</f>
        <v>7025</v>
      </c>
      <c r="P408" s="202">
        <v>123</v>
      </c>
      <c r="Q408" s="228"/>
      <c r="R408" s="201"/>
      <c r="S408" s="225">
        <f t="shared" si="28"/>
        <v>3738</v>
      </c>
      <c r="T408" s="229">
        <f t="shared" si="29"/>
        <v>3261</v>
      </c>
      <c r="U408" s="226">
        <v>2327</v>
      </c>
      <c r="V408" s="201">
        <v>1443</v>
      </c>
      <c r="W408" s="226">
        <v>3</v>
      </c>
      <c r="X408" s="201"/>
      <c r="Y408" s="228">
        <v>318</v>
      </c>
      <c r="Z408" s="228">
        <f>44+1046</f>
        <v>1090</v>
      </c>
      <c r="AA408" s="228"/>
      <c r="AB408" s="202">
        <v>422</v>
      </c>
      <c r="AC408" s="202">
        <f>125+1271</f>
        <v>1396</v>
      </c>
      <c r="AD408" s="202"/>
      <c r="AE408" s="228"/>
      <c r="AF408" s="240"/>
    </row>
    <row r="409" spans="1:32" s="203" customFormat="1">
      <c r="A409" s="353" t="s">
        <v>132</v>
      </c>
      <c r="B409" s="352" t="s">
        <v>556</v>
      </c>
      <c r="C409" s="353">
        <v>207847</v>
      </c>
      <c r="D409" s="378">
        <v>5</v>
      </c>
      <c r="E409" s="225">
        <f t="shared" si="26"/>
        <v>92699</v>
      </c>
      <c r="F409" s="229">
        <f t="shared" si="27"/>
        <v>91009</v>
      </c>
      <c r="G409" s="226">
        <v>69719</v>
      </c>
      <c r="H409" s="201">
        <v>66795</v>
      </c>
      <c r="I409" s="226"/>
      <c r="J409" s="201"/>
      <c r="K409" s="228">
        <v>19395</v>
      </c>
      <c r="L409" s="228">
        <f>15+3570</f>
        <v>3585</v>
      </c>
      <c r="M409" s="228"/>
      <c r="N409" s="202">
        <v>19779</v>
      </c>
      <c r="O409" s="202">
        <v>4435</v>
      </c>
      <c r="P409" s="202"/>
      <c r="Q409" s="228"/>
      <c r="R409" s="201"/>
      <c r="S409" s="225">
        <f t="shared" si="28"/>
        <v>5356</v>
      </c>
      <c r="T409" s="229">
        <f t="shared" si="29"/>
        <v>5714</v>
      </c>
      <c r="U409" s="226">
        <v>3424</v>
      </c>
      <c r="V409" s="201">
        <v>3509</v>
      </c>
      <c r="W409" s="226">
        <v>84</v>
      </c>
      <c r="X409" s="201">
        <v>198</v>
      </c>
      <c r="Y409" s="228">
        <v>1098</v>
      </c>
      <c r="Z409" s="228">
        <v>750</v>
      </c>
      <c r="AA409" s="228"/>
      <c r="AB409" s="202">
        <v>1494</v>
      </c>
      <c r="AC409" s="202">
        <v>513</v>
      </c>
      <c r="AD409" s="202"/>
      <c r="AE409" s="228"/>
      <c r="AF409" s="240"/>
    </row>
    <row r="410" spans="1:32" s="203" customFormat="1">
      <c r="A410" s="353" t="s">
        <v>132</v>
      </c>
      <c r="B410" s="352" t="s">
        <v>557</v>
      </c>
      <c r="C410" s="353">
        <v>207865</v>
      </c>
      <c r="D410" s="330">
        <v>5</v>
      </c>
      <c r="E410" s="225">
        <f t="shared" si="26"/>
        <v>114793</v>
      </c>
      <c r="F410" s="229">
        <f t="shared" si="27"/>
        <v>116855</v>
      </c>
      <c r="G410" s="226">
        <v>109700</v>
      </c>
      <c r="H410" s="201">
        <v>111077</v>
      </c>
      <c r="I410" s="226">
        <v>973</v>
      </c>
      <c r="J410" s="201">
        <v>1084</v>
      </c>
      <c r="K410" s="228">
        <v>1197</v>
      </c>
      <c r="L410" s="228">
        <f>881+787</f>
        <v>1668</v>
      </c>
      <c r="M410" s="228">
        <f>1198+57</f>
        <v>1255</v>
      </c>
      <c r="N410" s="202">
        <v>1445</v>
      </c>
      <c r="O410" s="202">
        <f>1188+877</f>
        <v>2065</v>
      </c>
      <c r="P410" s="202">
        <f>1131+53</f>
        <v>1184</v>
      </c>
      <c r="Q410" s="228"/>
      <c r="R410" s="201"/>
      <c r="S410" s="225">
        <f t="shared" si="28"/>
        <v>8894</v>
      </c>
      <c r="T410" s="229">
        <f t="shared" si="29"/>
        <v>11935</v>
      </c>
      <c r="U410" s="226">
        <v>4661</v>
      </c>
      <c r="V410" s="201">
        <v>8665</v>
      </c>
      <c r="W410" s="226"/>
      <c r="X410" s="201"/>
      <c r="Y410" s="228">
        <v>249</v>
      </c>
      <c r="Z410" s="228">
        <f>3756+228</f>
        <v>3984</v>
      </c>
      <c r="AA410" s="228"/>
      <c r="AB410" s="202">
        <v>126</v>
      </c>
      <c r="AC410" s="202">
        <f>2964+180</f>
        <v>3144</v>
      </c>
      <c r="AD410" s="202"/>
      <c r="AE410" s="228"/>
      <c r="AF410" s="240"/>
    </row>
    <row r="411" spans="1:32" s="203" customFormat="1">
      <c r="A411" s="353" t="s">
        <v>132</v>
      </c>
      <c r="B411" s="352" t="s">
        <v>558</v>
      </c>
      <c r="C411" s="353">
        <v>207351</v>
      </c>
      <c r="D411" s="330">
        <v>6</v>
      </c>
      <c r="E411" s="225">
        <f t="shared" si="26"/>
        <v>30861</v>
      </c>
      <c r="F411" s="229">
        <f t="shared" si="27"/>
        <v>32283</v>
      </c>
      <c r="G411" s="226">
        <v>27984</v>
      </c>
      <c r="H411" s="201">
        <v>27863</v>
      </c>
      <c r="I411" s="226"/>
      <c r="J411" s="201"/>
      <c r="K411" s="228">
        <v>2823</v>
      </c>
      <c r="L411" s="228">
        <v>51</v>
      </c>
      <c r="M411" s="228"/>
      <c r="N411" s="202">
        <v>4179</v>
      </c>
      <c r="O411" s="202">
        <v>240</v>
      </c>
      <c r="P411" s="202">
        <v>1</v>
      </c>
      <c r="Q411" s="228">
        <v>3</v>
      </c>
      <c r="R411" s="201"/>
      <c r="S411" s="225">
        <f t="shared" si="28"/>
        <v>0</v>
      </c>
      <c r="T411" s="229">
        <f t="shared" si="29"/>
        <v>0</v>
      </c>
      <c r="U411" s="226"/>
      <c r="V411" s="201"/>
      <c r="W411" s="226"/>
      <c r="X411" s="201"/>
      <c r="Y411" s="228"/>
      <c r="Z411" s="228"/>
      <c r="AA411" s="228"/>
      <c r="AB411" s="202"/>
      <c r="AC411" s="202"/>
      <c r="AD411" s="202"/>
      <c r="AE411" s="228"/>
      <c r="AF411" s="240"/>
    </row>
    <row r="412" spans="1:32" s="203" customFormat="1">
      <c r="A412" s="353" t="s">
        <v>132</v>
      </c>
      <c r="B412" s="379" t="s">
        <v>559</v>
      </c>
      <c r="C412" s="283">
        <v>207661</v>
      </c>
      <c r="D412" s="330">
        <v>6</v>
      </c>
      <c r="E412" s="225">
        <f t="shared" si="26"/>
        <v>84008</v>
      </c>
      <c r="F412" s="229">
        <f t="shared" si="27"/>
        <v>84566</v>
      </c>
      <c r="G412" s="226">
        <v>59387</v>
      </c>
      <c r="H412" s="201">
        <v>57220</v>
      </c>
      <c r="I412" s="226">
        <v>1587</v>
      </c>
      <c r="J412" s="201">
        <v>2130</v>
      </c>
      <c r="K412" s="228">
        <v>19575</v>
      </c>
      <c r="L412" s="228">
        <v>3459</v>
      </c>
      <c r="M412" s="228"/>
      <c r="N412" s="202">
        <v>21353</v>
      </c>
      <c r="O412" s="202">
        <v>3863</v>
      </c>
      <c r="P412" s="202"/>
      <c r="Q412" s="228"/>
      <c r="R412" s="201"/>
      <c r="S412" s="225">
        <f t="shared" si="28"/>
        <v>0</v>
      </c>
      <c r="T412" s="229">
        <f t="shared" si="29"/>
        <v>0</v>
      </c>
      <c r="U412" s="226"/>
      <c r="V412" s="201"/>
      <c r="W412" s="226"/>
      <c r="X412" s="201"/>
      <c r="Y412" s="228"/>
      <c r="Z412" s="228"/>
      <c r="AA412" s="228"/>
      <c r="AB412" s="202"/>
      <c r="AC412" s="202"/>
      <c r="AD412" s="202"/>
      <c r="AE412" s="228"/>
      <c r="AF412" s="240"/>
    </row>
    <row r="413" spans="1:32" s="203" customFormat="1">
      <c r="A413" s="353" t="s">
        <v>132</v>
      </c>
      <c r="B413" s="352" t="s">
        <v>560</v>
      </c>
      <c r="C413" s="353">
        <v>207722</v>
      </c>
      <c r="D413" s="330">
        <v>6</v>
      </c>
      <c r="E413" s="225">
        <f t="shared" si="26"/>
        <v>34065</v>
      </c>
      <c r="F413" s="229">
        <f t="shared" si="27"/>
        <v>32312</v>
      </c>
      <c r="G413" s="226">
        <v>33655</v>
      </c>
      <c r="H413" s="201">
        <v>32013</v>
      </c>
      <c r="I413" s="226">
        <v>410</v>
      </c>
      <c r="J413" s="201">
        <v>299</v>
      </c>
      <c r="K413" s="228"/>
      <c r="L413" s="228"/>
      <c r="M413" s="228"/>
      <c r="N413" s="202"/>
      <c r="O413" s="202"/>
      <c r="P413" s="202"/>
      <c r="Q413" s="228"/>
      <c r="R413" s="201"/>
      <c r="S413" s="225">
        <f t="shared" si="28"/>
        <v>0</v>
      </c>
      <c r="T413" s="229">
        <f t="shared" si="29"/>
        <v>0</v>
      </c>
      <c r="U413" s="226"/>
      <c r="V413" s="201"/>
      <c r="W413" s="226"/>
      <c r="X413" s="201"/>
      <c r="Y413" s="228"/>
      <c r="Z413" s="228"/>
      <c r="AA413" s="228"/>
      <c r="AB413" s="202"/>
      <c r="AC413" s="202"/>
      <c r="AD413" s="202"/>
      <c r="AE413" s="228"/>
      <c r="AF413" s="240"/>
    </row>
    <row r="414" spans="1:32" s="220" customFormat="1">
      <c r="A414" s="353" t="s">
        <v>132</v>
      </c>
      <c r="B414" s="282" t="s">
        <v>564</v>
      </c>
      <c r="C414" s="283">
        <v>207564</v>
      </c>
      <c r="D414" s="497">
        <v>7</v>
      </c>
      <c r="E414" s="225">
        <f t="shared" si="26"/>
        <v>80089</v>
      </c>
      <c r="F414" s="229">
        <f t="shared" si="27"/>
        <v>88090</v>
      </c>
      <c r="G414" s="226">
        <v>65452</v>
      </c>
      <c r="H414" s="201">
        <v>69487</v>
      </c>
      <c r="I414" s="226">
        <v>14637</v>
      </c>
      <c r="J414" s="201">
        <v>18603</v>
      </c>
      <c r="K414" s="228"/>
      <c r="L414" s="228"/>
      <c r="M414" s="228"/>
      <c r="N414" s="202"/>
      <c r="O414" s="202"/>
      <c r="P414" s="202"/>
      <c r="Q414" s="228"/>
      <c r="R414" s="201"/>
      <c r="S414" s="225">
        <f t="shared" si="28"/>
        <v>0</v>
      </c>
      <c r="T414" s="229">
        <f t="shared" si="29"/>
        <v>0</v>
      </c>
      <c r="U414" s="226"/>
      <c r="V414" s="201"/>
      <c r="W414" s="226"/>
      <c r="X414" s="201"/>
      <c r="Y414" s="228"/>
      <c r="Z414" s="228"/>
      <c r="AA414" s="228"/>
      <c r="AB414" s="202"/>
      <c r="AC414" s="202"/>
      <c r="AD414" s="202"/>
      <c r="AE414" s="228"/>
      <c r="AF414" s="240"/>
    </row>
    <row r="415" spans="1:32" s="203" customFormat="1">
      <c r="A415" s="353" t="s">
        <v>132</v>
      </c>
      <c r="B415" s="264" t="s">
        <v>561</v>
      </c>
      <c r="C415" s="353">
        <v>207449</v>
      </c>
      <c r="D415" s="330">
        <v>8</v>
      </c>
      <c r="E415" s="225">
        <f t="shared" si="26"/>
        <v>240531</v>
      </c>
      <c r="F415" s="229">
        <f t="shared" si="27"/>
        <v>238411</v>
      </c>
      <c r="G415" s="226">
        <v>178905</v>
      </c>
      <c r="H415" s="201">
        <v>184344</v>
      </c>
      <c r="I415" s="226">
        <v>20751</v>
      </c>
      <c r="J415" s="201">
        <v>11725</v>
      </c>
      <c r="K415" s="228">
        <v>29634</v>
      </c>
      <c r="L415" s="228">
        <v>153</v>
      </c>
      <c r="M415" s="228">
        <v>639</v>
      </c>
      <c r="N415" s="202">
        <v>32478</v>
      </c>
      <c r="O415" s="202"/>
      <c r="P415" s="202"/>
      <c r="Q415" s="228">
        <f>925+9524</f>
        <v>10449</v>
      </c>
      <c r="R415" s="201">
        <f>292+9572</f>
        <v>9864</v>
      </c>
      <c r="S415" s="225">
        <f t="shared" si="28"/>
        <v>0</v>
      </c>
      <c r="T415" s="229">
        <f t="shared" si="29"/>
        <v>0</v>
      </c>
      <c r="U415" s="226"/>
      <c r="V415" s="201"/>
      <c r="W415" s="226"/>
      <c r="X415" s="201"/>
      <c r="Y415" s="228"/>
      <c r="Z415" s="228"/>
      <c r="AA415" s="228"/>
      <c r="AB415" s="202"/>
      <c r="AC415" s="202"/>
      <c r="AD415" s="202"/>
      <c r="AE415" s="228"/>
      <c r="AF415" s="240"/>
    </row>
    <row r="416" spans="1:32" s="203" customFormat="1">
      <c r="A416" s="353" t="s">
        <v>132</v>
      </c>
      <c r="B416" s="352" t="s">
        <v>562</v>
      </c>
      <c r="C416" s="353">
        <v>207935</v>
      </c>
      <c r="D416" s="330">
        <v>8</v>
      </c>
      <c r="E416" s="225">
        <f t="shared" si="26"/>
        <v>319105</v>
      </c>
      <c r="F416" s="229">
        <f t="shared" si="27"/>
        <v>340828</v>
      </c>
      <c r="G416" s="226">
        <v>241007</v>
      </c>
      <c r="H416" s="201">
        <v>251135</v>
      </c>
      <c r="I416" s="226">
        <v>12423</v>
      </c>
      <c r="J416" s="201">
        <v>14907</v>
      </c>
      <c r="K416" s="228">
        <v>61027</v>
      </c>
      <c r="L416" s="228">
        <f>94+587</f>
        <v>681</v>
      </c>
      <c r="M416" s="228">
        <v>3967</v>
      </c>
      <c r="N416" s="202">
        <v>71318</v>
      </c>
      <c r="O416" s="202">
        <f>142+445</f>
        <v>587</v>
      </c>
      <c r="P416" s="202">
        <v>2881</v>
      </c>
      <c r="Q416" s="228"/>
      <c r="R416" s="201"/>
      <c r="S416" s="225">
        <f t="shared" si="28"/>
        <v>0</v>
      </c>
      <c r="T416" s="229">
        <f t="shared" si="29"/>
        <v>0</v>
      </c>
      <c r="U416" s="226"/>
      <c r="V416" s="201"/>
      <c r="W416" s="226"/>
      <c r="X416" s="201"/>
      <c r="Y416" s="228"/>
      <c r="Z416" s="228"/>
      <c r="AA416" s="228"/>
      <c r="AB416" s="202"/>
      <c r="AC416" s="202"/>
      <c r="AD416" s="202"/>
      <c r="AE416" s="228"/>
      <c r="AF416" s="240"/>
    </row>
    <row r="417" spans="1:32" s="203" customFormat="1">
      <c r="A417" s="353" t="s">
        <v>132</v>
      </c>
      <c r="B417" s="264" t="s">
        <v>563</v>
      </c>
      <c r="C417" s="353">
        <v>207281</v>
      </c>
      <c r="D417" s="330">
        <v>9</v>
      </c>
      <c r="E417" s="225">
        <f t="shared" si="26"/>
        <v>104613</v>
      </c>
      <c r="F417" s="229">
        <f t="shared" si="27"/>
        <v>104328</v>
      </c>
      <c r="G417" s="226">
        <v>84849</v>
      </c>
      <c r="H417" s="201">
        <v>90987</v>
      </c>
      <c r="I417" s="226">
        <v>6479</v>
      </c>
      <c r="J417" s="201">
        <v>4710</v>
      </c>
      <c r="K417" s="228">
        <f>25+7348</f>
        <v>7373</v>
      </c>
      <c r="L417" s="228">
        <f>1007+4905</f>
        <v>5912</v>
      </c>
      <c r="M417" s="228"/>
      <c r="N417" s="202">
        <f>24+3815</f>
        <v>3839</v>
      </c>
      <c r="O417" s="202">
        <f>945+3847</f>
        <v>4792</v>
      </c>
      <c r="P417" s="202"/>
      <c r="Q417" s="228"/>
      <c r="R417" s="201"/>
      <c r="S417" s="225">
        <f t="shared" si="28"/>
        <v>0</v>
      </c>
      <c r="T417" s="229">
        <f t="shared" si="29"/>
        <v>0</v>
      </c>
      <c r="U417" s="226"/>
      <c r="V417" s="201"/>
      <c r="W417" s="226"/>
      <c r="X417" s="201"/>
      <c r="Y417" s="228"/>
      <c r="Z417" s="228"/>
      <c r="AA417" s="228"/>
      <c r="AB417" s="202"/>
      <c r="AC417" s="202"/>
      <c r="AD417" s="202"/>
      <c r="AE417" s="228"/>
      <c r="AF417" s="240"/>
    </row>
    <row r="418" spans="1:32" s="203" customFormat="1">
      <c r="A418" s="353" t="s">
        <v>132</v>
      </c>
      <c r="B418" s="352" t="s">
        <v>565</v>
      </c>
      <c r="C418" s="353">
        <v>207397</v>
      </c>
      <c r="D418" s="330">
        <v>9</v>
      </c>
      <c r="E418" s="225">
        <f t="shared" si="26"/>
        <v>111042</v>
      </c>
      <c r="F418" s="229">
        <f t="shared" si="27"/>
        <v>113666</v>
      </c>
      <c r="G418" s="226">
        <v>81170</v>
      </c>
      <c r="H418" s="201">
        <v>80899</v>
      </c>
      <c r="I418" s="226"/>
      <c r="J418" s="201"/>
      <c r="K418" s="228">
        <v>25626</v>
      </c>
      <c r="L418" s="228"/>
      <c r="M418" s="228">
        <v>4246</v>
      </c>
      <c r="N418" s="202">
        <v>28594</v>
      </c>
      <c r="O418" s="202"/>
      <c r="P418" s="202">
        <v>4173</v>
      </c>
      <c r="Q418" s="228"/>
      <c r="R418" s="201"/>
      <c r="S418" s="225">
        <f t="shared" si="28"/>
        <v>0</v>
      </c>
      <c r="T418" s="229">
        <f t="shared" si="29"/>
        <v>0</v>
      </c>
      <c r="U418" s="226"/>
      <c r="V418" s="201"/>
      <c r="W418" s="226"/>
      <c r="X418" s="201"/>
      <c r="Y418" s="228"/>
      <c r="Z418" s="228"/>
      <c r="AA418" s="228"/>
      <c r="AB418" s="202"/>
      <c r="AC418" s="202"/>
      <c r="AD418" s="202"/>
      <c r="AE418" s="228"/>
      <c r="AF418" s="240"/>
    </row>
    <row r="419" spans="1:32" s="203" customFormat="1">
      <c r="A419" s="353" t="s">
        <v>132</v>
      </c>
      <c r="B419" s="352" t="s">
        <v>566</v>
      </c>
      <c r="C419" s="353">
        <v>207670</v>
      </c>
      <c r="D419" s="330">
        <v>9</v>
      </c>
      <c r="E419" s="225">
        <f t="shared" si="26"/>
        <v>146284</v>
      </c>
      <c r="F419" s="229">
        <f t="shared" si="27"/>
        <v>139993</v>
      </c>
      <c r="G419" s="226">
        <v>113076</v>
      </c>
      <c r="H419" s="201">
        <v>103715</v>
      </c>
      <c r="I419" s="226">
        <v>6485</v>
      </c>
      <c r="J419" s="201">
        <v>8321</v>
      </c>
      <c r="K419" s="228">
        <f>497+23063</f>
        <v>23560</v>
      </c>
      <c r="L419" s="228">
        <v>129</v>
      </c>
      <c r="M419" s="228">
        <f>138+2896</f>
        <v>3034</v>
      </c>
      <c r="N419" s="202">
        <f>958+24716</f>
        <v>25674</v>
      </c>
      <c r="O419" s="202">
        <v>39</v>
      </c>
      <c r="P419" s="202">
        <v>2244</v>
      </c>
      <c r="Q419" s="228"/>
      <c r="R419" s="201"/>
      <c r="S419" s="225">
        <f t="shared" si="28"/>
        <v>0</v>
      </c>
      <c r="T419" s="229">
        <f t="shared" si="29"/>
        <v>0</v>
      </c>
      <c r="U419" s="226"/>
      <c r="V419" s="201"/>
      <c r="W419" s="226"/>
      <c r="X419" s="201"/>
      <c r="Y419" s="228"/>
      <c r="Z419" s="228"/>
      <c r="AA419" s="228"/>
      <c r="AB419" s="202"/>
      <c r="AC419" s="202"/>
      <c r="AD419" s="202"/>
      <c r="AE419" s="228"/>
      <c r="AF419" s="240"/>
    </row>
    <row r="420" spans="1:32" s="203" customFormat="1">
      <c r="A420" s="353" t="s">
        <v>132</v>
      </c>
      <c r="B420" s="352" t="s">
        <v>567</v>
      </c>
      <c r="C420" s="353">
        <v>206923</v>
      </c>
      <c r="D420" s="330">
        <v>10</v>
      </c>
      <c r="E420" s="225">
        <f t="shared" si="26"/>
        <v>54293</v>
      </c>
      <c r="F420" s="229">
        <f t="shared" si="27"/>
        <v>54875</v>
      </c>
      <c r="G420" s="226">
        <v>42494</v>
      </c>
      <c r="H420" s="201">
        <v>43336</v>
      </c>
      <c r="I420" s="226">
        <v>204</v>
      </c>
      <c r="J420" s="201">
        <v>64</v>
      </c>
      <c r="K420" s="228">
        <v>11595</v>
      </c>
      <c r="L420" s="228"/>
      <c r="M420" s="228"/>
      <c r="N420" s="202">
        <v>11145</v>
      </c>
      <c r="O420" s="202">
        <f>204+126</f>
        <v>330</v>
      </c>
      <c r="P420" s="202"/>
      <c r="Q420" s="228"/>
      <c r="R420" s="201"/>
      <c r="S420" s="225">
        <f t="shared" si="28"/>
        <v>0</v>
      </c>
      <c r="T420" s="229">
        <f t="shared" si="29"/>
        <v>0</v>
      </c>
      <c r="U420" s="226"/>
      <c r="V420" s="201"/>
      <c r="W420" s="226"/>
      <c r="X420" s="201"/>
      <c r="Y420" s="228"/>
      <c r="Z420" s="228"/>
      <c r="AA420" s="228"/>
      <c r="AB420" s="202"/>
      <c r="AC420" s="202"/>
      <c r="AD420" s="202"/>
      <c r="AE420" s="228"/>
      <c r="AF420" s="240"/>
    </row>
    <row r="421" spans="1:32" s="203" customFormat="1">
      <c r="A421" s="353" t="s">
        <v>132</v>
      </c>
      <c r="B421" s="352" t="s">
        <v>568</v>
      </c>
      <c r="C421" s="353">
        <v>206996</v>
      </c>
      <c r="D421" s="330">
        <v>10</v>
      </c>
      <c r="E421" s="225">
        <f t="shared" si="26"/>
        <v>49383</v>
      </c>
      <c r="F421" s="229">
        <f t="shared" si="27"/>
        <v>49565</v>
      </c>
      <c r="G421" s="226">
        <v>34073</v>
      </c>
      <c r="H421" s="201">
        <v>31977</v>
      </c>
      <c r="I421" s="226">
        <v>8215</v>
      </c>
      <c r="J421" s="201">
        <v>9481</v>
      </c>
      <c r="K421" s="228">
        <v>1982</v>
      </c>
      <c r="L421" s="228">
        <f>180+4933</f>
        <v>5113</v>
      </c>
      <c r="M421" s="228"/>
      <c r="N421" s="202">
        <v>2898</v>
      </c>
      <c r="O421" s="202">
        <f>132+5077</f>
        <v>5209</v>
      </c>
      <c r="P421" s="202"/>
      <c r="Q421" s="228"/>
      <c r="R421" s="201"/>
      <c r="S421" s="225">
        <f t="shared" si="28"/>
        <v>0</v>
      </c>
      <c r="T421" s="229">
        <f t="shared" si="29"/>
        <v>0</v>
      </c>
      <c r="U421" s="226"/>
      <c r="V421" s="201"/>
      <c r="W421" s="226"/>
      <c r="X421" s="201"/>
      <c r="Y421" s="228"/>
      <c r="Z421" s="228"/>
      <c r="AA421" s="228"/>
      <c r="AB421" s="202"/>
      <c r="AC421" s="202"/>
      <c r="AD421" s="202"/>
      <c r="AE421" s="228"/>
      <c r="AF421" s="240"/>
    </row>
    <row r="422" spans="1:32" s="203" customFormat="1">
      <c r="A422" s="353" t="s">
        <v>132</v>
      </c>
      <c r="B422" s="352" t="s">
        <v>569</v>
      </c>
      <c r="C422" s="353">
        <v>207050</v>
      </c>
      <c r="D422" s="330">
        <v>10</v>
      </c>
      <c r="E422" s="225">
        <f t="shared" si="26"/>
        <v>39131</v>
      </c>
      <c r="F422" s="229">
        <f t="shared" si="27"/>
        <v>40216</v>
      </c>
      <c r="G422" s="226">
        <v>31944</v>
      </c>
      <c r="H422" s="201">
        <v>31797</v>
      </c>
      <c r="I422" s="226">
        <v>2260</v>
      </c>
      <c r="J422" s="201">
        <v>1874</v>
      </c>
      <c r="K422" s="228">
        <v>3284</v>
      </c>
      <c r="L422" s="228">
        <f>111+1532</f>
        <v>1643</v>
      </c>
      <c r="M422" s="228"/>
      <c r="N422" s="202">
        <v>4154</v>
      </c>
      <c r="O422" s="202">
        <f>345+2046</f>
        <v>2391</v>
      </c>
      <c r="P422" s="202"/>
      <c r="Q422" s="228"/>
      <c r="R422" s="201"/>
      <c r="S422" s="225">
        <f t="shared" si="28"/>
        <v>0</v>
      </c>
      <c r="T422" s="229">
        <f t="shared" si="29"/>
        <v>0</v>
      </c>
      <c r="U422" s="226"/>
      <c r="V422" s="201"/>
      <c r="W422" s="226"/>
      <c r="X422" s="201"/>
      <c r="Y422" s="228"/>
      <c r="Z422" s="228"/>
      <c r="AA422" s="228"/>
      <c r="AB422" s="202"/>
      <c r="AC422" s="202"/>
      <c r="AD422" s="202"/>
      <c r="AE422" s="228"/>
      <c r="AF422" s="240"/>
    </row>
    <row r="423" spans="1:32" s="203" customFormat="1">
      <c r="A423" s="353" t="s">
        <v>132</v>
      </c>
      <c r="B423" s="352" t="s">
        <v>570</v>
      </c>
      <c r="C423" s="353">
        <v>207236</v>
      </c>
      <c r="D423" s="330">
        <v>10</v>
      </c>
      <c r="E423" s="225">
        <f t="shared" si="26"/>
        <v>48975</v>
      </c>
      <c r="F423" s="229">
        <f t="shared" si="27"/>
        <v>51132</v>
      </c>
      <c r="G423" s="226">
        <v>36385</v>
      </c>
      <c r="H423" s="201">
        <v>36407</v>
      </c>
      <c r="I423" s="226">
        <v>426</v>
      </c>
      <c r="J423" s="201">
        <v>432</v>
      </c>
      <c r="K423" s="228">
        <v>8396</v>
      </c>
      <c r="L423" s="228">
        <v>3636</v>
      </c>
      <c r="M423" s="228">
        <v>132</v>
      </c>
      <c r="N423" s="202">
        <v>9849</v>
      </c>
      <c r="O423" s="202">
        <v>4444</v>
      </c>
      <c r="P423" s="202"/>
      <c r="Q423" s="228"/>
      <c r="R423" s="201"/>
      <c r="S423" s="225">
        <f t="shared" si="28"/>
        <v>0</v>
      </c>
      <c r="T423" s="229">
        <f t="shared" si="29"/>
        <v>0</v>
      </c>
      <c r="U423" s="226"/>
      <c r="V423" s="201"/>
      <c r="W423" s="226"/>
      <c r="X423" s="201"/>
      <c r="Y423" s="228"/>
      <c r="Z423" s="228"/>
      <c r="AA423" s="228"/>
      <c r="AB423" s="202"/>
      <c r="AC423" s="202"/>
      <c r="AD423" s="202"/>
      <c r="AE423" s="228"/>
      <c r="AF423" s="240"/>
    </row>
    <row r="424" spans="1:32" s="203" customFormat="1">
      <c r="A424" s="353" t="s">
        <v>132</v>
      </c>
      <c r="B424" s="352" t="s">
        <v>571</v>
      </c>
      <c r="C424" s="353">
        <v>207290</v>
      </c>
      <c r="D424" s="330">
        <v>10</v>
      </c>
      <c r="E424" s="225">
        <f t="shared" si="26"/>
        <v>44606</v>
      </c>
      <c r="F424" s="229">
        <f t="shared" si="27"/>
        <v>45515</v>
      </c>
      <c r="G424" s="226">
        <v>41324</v>
      </c>
      <c r="H424" s="201">
        <v>40822</v>
      </c>
      <c r="I424" s="226">
        <v>228</v>
      </c>
      <c r="J424" s="201">
        <v>367</v>
      </c>
      <c r="K424" s="228">
        <f>409+2462</f>
        <v>2871</v>
      </c>
      <c r="L424" s="228">
        <v>183</v>
      </c>
      <c r="M424" s="228"/>
      <c r="N424" s="202">
        <v>3798</v>
      </c>
      <c r="O424" s="202">
        <f>105+405</f>
        <v>510</v>
      </c>
      <c r="P424" s="202">
        <v>18</v>
      </c>
      <c r="Q424" s="228"/>
      <c r="R424" s="201"/>
      <c r="S424" s="225">
        <f t="shared" si="28"/>
        <v>0</v>
      </c>
      <c r="T424" s="229">
        <f t="shared" si="29"/>
        <v>0</v>
      </c>
      <c r="U424" s="226"/>
      <c r="V424" s="201"/>
      <c r="W424" s="226"/>
      <c r="X424" s="201"/>
      <c r="Y424" s="228"/>
      <c r="Z424" s="228"/>
      <c r="AA424" s="228"/>
      <c r="AB424" s="202"/>
      <c r="AC424" s="202"/>
      <c r="AD424" s="202"/>
      <c r="AE424" s="228"/>
      <c r="AF424" s="240"/>
    </row>
    <row r="425" spans="1:32" s="203" customFormat="1">
      <c r="A425" s="353" t="s">
        <v>132</v>
      </c>
      <c r="B425" s="352" t="s">
        <v>572</v>
      </c>
      <c r="C425" s="353">
        <v>207069</v>
      </c>
      <c r="D425" s="330">
        <v>10</v>
      </c>
      <c r="E425" s="225">
        <f t="shared" si="26"/>
        <v>43485</v>
      </c>
      <c r="F425" s="229">
        <f t="shared" si="27"/>
        <v>42400</v>
      </c>
      <c r="G425" s="226">
        <v>32461</v>
      </c>
      <c r="H425" s="201">
        <v>22796</v>
      </c>
      <c r="I425" s="226">
        <v>3175</v>
      </c>
      <c r="J425" s="201">
        <v>5737</v>
      </c>
      <c r="K425" s="228">
        <v>6958</v>
      </c>
      <c r="L425" s="228">
        <v>606</v>
      </c>
      <c r="M425" s="228">
        <v>285</v>
      </c>
      <c r="N425" s="202">
        <v>12244</v>
      </c>
      <c r="O425" s="202">
        <v>1575</v>
      </c>
      <c r="P425" s="202">
        <v>48</v>
      </c>
      <c r="Q425" s="228"/>
      <c r="R425" s="201"/>
      <c r="S425" s="225">
        <f t="shared" si="28"/>
        <v>0</v>
      </c>
      <c r="T425" s="229">
        <f t="shared" si="29"/>
        <v>0</v>
      </c>
      <c r="U425" s="226"/>
      <c r="V425" s="201"/>
      <c r="W425" s="226"/>
      <c r="X425" s="201"/>
      <c r="Y425" s="228"/>
      <c r="Z425" s="228"/>
      <c r="AA425" s="228"/>
      <c r="AB425" s="202"/>
      <c r="AC425" s="202"/>
      <c r="AD425" s="202"/>
      <c r="AE425" s="228"/>
      <c r="AF425" s="240"/>
    </row>
    <row r="426" spans="1:32" s="203" customFormat="1">
      <c r="A426" s="353" t="s">
        <v>132</v>
      </c>
      <c r="B426" s="352" t="s">
        <v>573</v>
      </c>
      <c r="C426" s="353">
        <v>207740</v>
      </c>
      <c r="D426" s="354">
        <v>10</v>
      </c>
      <c r="E426" s="225">
        <f t="shared" si="26"/>
        <v>41355</v>
      </c>
      <c r="F426" s="229">
        <f t="shared" si="27"/>
        <v>42628</v>
      </c>
      <c r="G426" s="226">
        <v>31325</v>
      </c>
      <c r="H426" s="201">
        <v>30824</v>
      </c>
      <c r="I426" s="226">
        <v>6979</v>
      </c>
      <c r="J426" s="201">
        <v>7438</v>
      </c>
      <c r="K426" s="228">
        <v>2832</v>
      </c>
      <c r="L426" s="228">
        <v>129</v>
      </c>
      <c r="M426" s="228">
        <v>90</v>
      </c>
      <c r="N426" s="202">
        <v>4183</v>
      </c>
      <c r="O426" s="202">
        <v>135</v>
      </c>
      <c r="P426" s="202">
        <v>48</v>
      </c>
      <c r="Q426" s="228"/>
      <c r="R426" s="201"/>
      <c r="S426" s="225">
        <f t="shared" si="28"/>
        <v>0</v>
      </c>
      <c r="T426" s="229">
        <f t="shared" si="29"/>
        <v>0</v>
      </c>
      <c r="U426" s="226"/>
      <c r="V426" s="201"/>
      <c r="W426" s="226"/>
      <c r="X426" s="201"/>
      <c r="Y426" s="228"/>
      <c r="Z426" s="228"/>
      <c r="AA426" s="228"/>
      <c r="AB426" s="202"/>
      <c r="AC426" s="202"/>
      <c r="AD426" s="202"/>
      <c r="AE426" s="228"/>
      <c r="AF426" s="240"/>
    </row>
    <row r="427" spans="1:32" s="203" customFormat="1">
      <c r="A427" s="353" t="s">
        <v>132</v>
      </c>
      <c r="B427" s="352" t="s">
        <v>574</v>
      </c>
      <c r="C427" s="353">
        <v>208035</v>
      </c>
      <c r="D427" s="330">
        <v>10</v>
      </c>
      <c r="E427" s="225">
        <f t="shared" si="26"/>
        <v>36475</v>
      </c>
      <c r="F427" s="229">
        <f t="shared" si="27"/>
        <v>38219</v>
      </c>
      <c r="G427" s="226">
        <v>17980</v>
      </c>
      <c r="H427" s="201">
        <v>18937</v>
      </c>
      <c r="I427" s="226">
        <v>5469</v>
      </c>
      <c r="J427" s="201">
        <v>4987</v>
      </c>
      <c r="K427" s="228">
        <f>9321+627</f>
        <v>9948</v>
      </c>
      <c r="L427" s="228">
        <f>2226+303</f>
        <v>2529</v>
      </c>
      <c r="M427" s="228">
        <f>528+21</f>
        <v>549</v>
      </c>
      <c r="N427" s="202">
        <f>10128+693</f>
        <v>10821</v>
      </c>
      <c r="O427" s="202">
        <f>2712+204</f>
        <v>2916</v>
      </c>
      <c r="P427" s="202">
        <v>558</v>
      </c>
      <c r="Q427" s="228"/>
      <c r="R427" s="201"/>
      <c r="S427" s="225">
        <f t="shared" si="28"/>
        <v>0</v>
      </c>
      <c r="T427" s="229">
        <f t="shared" si="29"/>
        <v>0</v>
      </c>
      <c r="U427" s="226"/>
      <c r="V427" s="201"/>
      <c r="W427" s="226"/>
      <c r="X427" s="201"/>
      <c r="Y427" s="228"/>
      <c r="Z427" s="228"/>
      <c r="AA427" s="228"/>
      <c r="AB427" s="202"/>
      <c r="AC427" s="202"/>
      <c r="AD427" s="202"/>
      <c r="AE427" s="228"/>
      <c r="AF427" s="240"/>
    </row>
    <row r="428" spans="1:32" s="203" customFormat="1">
      <c r="A428" s="399" t="s">
        <v>136</v>
      </c>
      <c r="B428" s="400" t="s">
        <v>844</v>
      </c>
      <c r="C428" s="399">
        <v>217882</v>
      </c>
      <c r="D428" s="401">
        <v>1</v>
      </c>
      <c r="E428" s="225">
        <f t="shared" si="26"/>
        <v>428375</v>
      </c>
      <c r="F428" s="229">
        <f t="shared" si="27"/>
        <v>441422</v>
      </c>
      <c r="G428" s="387">
        <v>405121</v>
      </c>
      <c r="H428" s="201">
        <v>417484</v>
      </c>
      <c r="I428" s="387">
        <v>3081</v>
      </c>
      <c r="J428" s="201">
        <v>3385</v>
      </c>
      <c r="K428" s="389">
        <v>20173</v>
      </c>
      <c r="L428" s="389"/>
      <c r="M428" s="389"/>
      <c r="N428" s="202">
        <v>20553</v>
      </c>
      <c r="O428" s="202"/>
      <c r="P428" s="202"/>
      <c r="Q428" s="389"/>
      <c r="R428" s="201"/>
      <c r="S428" s="225">
        <f t="shared" si="28"/>
        <v>53233</v>
      </c>
      <c r="T428" s="229">
        <f t="shared" si="29"/>
        <v>59721</v>
      </c>
      <c r="U428" s="387">
        <v>50349</v>
      </c>
      <c r="V428" s="201">
        <v>52431</v>
      </c>
      <c r="W428" s="387">
        <v>1601</v>
      </c>
      <c r="X428" s="201">
        <v>5560</v>
      </c>
      <c r="Y428" s="389">
        <v>1283</v>
      </c>
      <c r="Z428" s="389"/>
      <c r="AA428" s="389"/>
      <c r="AB428" s="202">
        <v>1730</v>
      </c>
      <c r="AC428" s="202"/>
      <c r="AD428" s="202"/>
      <c r="AE428" s="389"/>
      <c r="AF428" s="240"/>
    </row>
    <row r="429" spans="1:32" s="203" customFormat="1">
      <c r="A429" s="399" t="s">
        <v>136</v>
      </c>
      <c r="B429" s="400" t="s">
        <v>845</v>
      </c>
      <c r="C429" s="399">
        <v>218663</v>
      </c>
      <c r="D429" s="401">
        <v>1</v>
      </c>
      <c r="E429" s="225">
        <f t="shared" si="26"/>
        <v>552171</v>
      </c>
      <c r="F429" s="229">
        <f t="shared" si="27"/>
        <v>577517</v>
      </c>
      <c r="G429" s="387">
        <v>536210</v>
      </c>
      <c r="H429" s="201">
        <v>555583</v>
      </c>
      <c r="I429" s="387">
        <v>14547</v>
      </c>
      <c r="J429" s="201">
        <v>14518</v>
      </c>
      <c r="K429" s="389">
        <v>460</v>
      </c>
      <c r="L429" s="389"/>
      <c r="M429" s="389">
        <v>954</v>
      </c>
      <c r="N429" s="202">
        <v>885</v>
      </c>
      <c r="O429" s="202">
        <v>1389</v>
      </c>
      <c r="P429" s="202">
        <v>5142</v>
      </c>
      <c r="Q429" s="389"/>
      <c r="R429" s="201"/>
      <c r="S429" s="225">
        <f t="shared" si="28"/>
        <v>110330</v>
      </c>
      <c r="T429" s="229">
        <f t="shared" si="29"/>
        <v>107142</v>
      </c>
      <c r="U429" s="387">
        <v>80990</v>
      </c>
      <c r="V429" s="201">
        <v>72578</v>
      </c>
      <c r="W429" s="387">
        <v>13686</v>
      </c>
      <c r="X429" s="201">
        <v>9263</v>
      </c>
      <c r="Y429" s="389">
        <v>11425</v>
      </c>
      <c r="Z429" s="389"/>
      <c r="AA429" s="389">
        <v>4229</v>
      </c>
      <c r="AB429" s="202">
        <v>16545</v>
      </c>
      <c r="AC429" s="202">
        <v>84</v>
      </c>
      <c r="AD429" s="202">
        <v>8672</v>
      </c>
      <c r="AE429" s="389"/>
      <c r="AF429" s="240"/>
    </row>
    <row r="430" spans="1:32" s="203" customFormat="1">
      <c r="A430" s="399" t="s">
        <v>136</v>
      </c>
      <c r="B430" s="400" t="s">
        <v>846</v>
      </c>
      <c r="C430" s="399">
        <v>217819</v>
      </c>
      <c r="D430" s="404">
        <v>3</v>
      </c>
      <c r="E430" s="225">
        <f t="shared" si="26"/>
        <v>285371</v>
      </c>
      <c r="F430" s="229">
        <f t="shared" si="27"/>
        <v>283739</v>
      </c>
      <c r="G430" s="387">
        <v>285371</v>
      </c>
      <c r="H430" s="201">
        <v>283739</v>
      </c>
      <c r="I430" s="387">
        <v>0</v>
      </c>
      <c r="J430" s="201"/>
      <c r="K430" s="389"/>
      <c r="L430" s="389"/>
      <c r="M430" s="389"/>
      <c r="N430" s="202"/>
      <c r="O430" s="202"/>
      <c r="P430" s="202"/>
      <c r="Q430" s="389"/>
      <c r="R430" s="201"/>
      <c r="S430" s="225">
        <f t="shared" si="28"/>
        <v>17399</v>
      </c>
      <c r="T430" s="229">
        <f t="shared" si="29"/>
        <v>18871</v>
      </c>
      <c r="U430" s="387">
        <v>11170</v>
      </c>
      <c r="V430" s="201">
        <v>10447</v>
      </c>
      <c r="W430" s="387">
        <v>6097</v>
      </c>
      <c r="X430" s="201">
        <v>8136</v>
      </c>
      <c r="Y430" s="389">
        <v>132</v>
      </c>
      <c r="Z430" s="389"/>
      <c r="AA430" s="389"/>
      <c r="AB430" s="202">
        <v>288</v>
      </c>
      <c r="AC430" s="202"/>
      <c r="AD430" s="202"/>
      <c r="AE430" s="389"/>
      <c r="AF430" s="240"/>
    </row>
    <row r="431" spans="1:32" s="203" customFormat="1">
      <c r="A431" s="399" t="s">
        <v>136</v>
      </c>
      <c r="B431" s="400" t="s">
        <v>847</v>
      </c>
      <c r="C431" s="399">
        <v>218964</v>
      </c>
      <c r="D431" s="401">
        <v>3</v>
      </c>
      <c r="E431" s="225">
        <f t="shared" si="26"/>
        <v>144760</v>
      </c>
      <c r="F431" s="229">
        <f t="shared" si="27"/>
        <v>144635.5</v>
      </c>
      <c r="G431" s="387">
        <v>143578</v>
      </c>
      <c r="H431" s="201">
        <v>143463.5</v>
      </c>
      <c r="I431" s="387">
        <v>1182</v>
      </c>
      <c r="J431" s="201">
        <v>1172</v>
      </c>
      <c r="K431" s="389"/>
      <c r="L431" s="389"/>
      <c r="M431" s="389"/>
      <c r="N431" s="202"/>
      <c r="O431" s="202"/>
      <c r="P431" s="202"/>
      <c r="Q431" s="389"/>
      <c r="R431" s="201"/>
      <c r="S431" s="225">
        <f t="shared" si="28"/>
        <v>15758</v>
      </c>
      <c r="T431" s="229">
        <f t="shared" si="29"/>
        <v>16598</v>
      </c>
      <c r="U431" s="387">
        <v>13044</v>
      </c>
      <c r="V431" s="201">
        <v>13882</v>
      </c>
      <c r="W431" s="387">
        <v>2714</v>
      </c>
      <c r="X431" s="201">
        <v>2716</v>
      </c>
      <c r="Y431" s="389"/>
      <c r="Z431" s="389"/>
      <c r="AA431" s="389"/>
      <c r="AB431" s="202"/>
      <c r="AC431" s="202"/>
      <c r="AD431" s="202"/>
      <c r="AE431" s="389"/>
      <c r="AF431" s="240"/>
    </row>
    <row r="432" spans="1:32" s="203" customFormat="1">
      <c r="A432" s="399" t="s">
        <v>136</v>
      </c>
      <c r="B432" s="400" t="s">
        <v>848</v>
      </c>
      <c r="C432" s="399">
        <v>217864</v>
      </c>
      <c r="D432" s="401">
        <v>4</v>
      </c>
      <c r="E432" s="225">
        <f t="shared" si="26"/>
        <v>80748</v>
      </c>
      <c r="F432" s="229">
        <f t="shared" si="27"/>
        <v>81587</v>
      </c>
      <c r="G432" s="387">
        <v>80583</v>
      </c>
      <c r="H432" s="201">
        <v>81329</v>
      </c>
      <c r="I432" s="387">
        <v>132</v>
      </c>
      <c r="J432" s="201">
        <v>156</v>
      </c>
      <c r="K432" s="389">
        <v>33</v>
      </c>
      <c r="L432" s="389"/>
      <c r="M432" s="389"/>
      <c r="N432" s="202">
        <v>102</v>
      </c>
      <c r="O432" s="202"/>
      <c r="P432" s="202"/>
      <c r="Q432" s="389"/>
      <c r="R432" s="201"/>
      <c r="S432" s="225">
        <f t="shared" si="28"/>
        <v>15524</v>
      </c>
      <c r="T432" s="229">
        <f t="shared" si="29"/>
        <v>15795.5</v>
      </c>
      <c r="U432" s="387">
        <v>13352</v>
      </c>
      <c r="V432" s="201">
        <v>13504.5</v>
      </c>
      <c r="W432" s="387">
        <v>2172</v>
      </c>
      <c r="X432" s="201">
        <v>1710</v>
      </c>
      <c r="Y432" s="389"/>
      <c r="Z432" s="389"/>
      <c r="AA432" s="389"/>
      <c r="AB432" s="202">
        <v>581</v>
      </c>
      <c r="AC432" s="202"/>
      <c r="AD432" s="202"/>
      <c r="AE432" s="389"/>
      <c r="AF432" s="240"/>
    </row>
    <row r="433" spans="1:32" s="203" customFormat="1">
      <c r="A433" s="399" t="s">
        <v>136</v>
      </c>
      <c r="B433" s="400" t="s">
        <v>849</v>
      </c>
      <c r="C433" s="399">
        <v>218724</v>
      </c>
      <c r="D433" s="401">
        <v>5</v>
      </c>
      <c r="E433" s="225">
        <f t="shared" si="26"/>
        <v>200795</v>
      </c>
      <c r="F433" s="229">
        <f t="shared" si="27"/>
        <v>213061</v>
      </c>
      <c r="G433" s="387">
        <v>195809</v>
      </c>
      <c r="H433" s="201">
        <v>207530</v>
      </c>
      <c r="I433" s="387">
        <v>1420</v>
      </c>
      <c r="J433" s="201">
        <v>1094</v>
      </c>
      <c r="K433" s="389">
        <v>3566</v>
      </c>
      <c r="L433" s="389"/>
      <c r="M433" s="389"/>
      <c r="N433" s="202">
        <v>4437</v>
      </c>
      <c r="O433" s="202"/>
      <c r="P433" s="202"/>
      <c r="Q433" s="389"/>
      <c r="R433" s="201"/>
      <c r="S433" s="225">
        <f t="shared" si="28"/>
        <v>10046</v>
      </c>
      <c r="T433" s="229">
        <f t="shared" si="29"/>
        <v>7553</v>
      </c>
      <c r="U433" s="387">
        <v>4591</v>
      </c>
      <c r="V433" s="201">
        <v>4439</v>
      </c>
      <c r="W433" s="387">
        <v>3490</v>
      </c>
      <c r="X433" s="201">
        <v>1413</v>
      </c>
      <c r="Y433" s="389">
        <v>1965</v>
      </c>
      <c r="Z433" s="389"/>
      <c r="AA433" s="389"/>
      <c r="AB433" s="202">
        <v>1701</v>
      </c>
      <c r="AC433" s="202"/>
      <c r="AD433" s="202"/>
      <c r="AE433" s="389"/>
      <c r="AF433" s="240"/>
    </row>
    <row r="434" spans="1:32" s="203" customFormat="1">
      <c r="A434" s="399" t="s">
        <v>136</v>
      </c>
      <c r="B434" s="400" t="s">
        <v>850</v>
      </c>
      <c r="C434" s="399">
        <v>218061</v>
      </c>
      <c r="D434" s="401">
        <v>5</v>
      </c>
      <c r="E434" s="225">
        <f t="shared" si="26"/>
        <v>95078</v>
      </c>
      <c r="F434" s="229">
        <f t="shared" si="27"/>
        <v>95142</v>
      </c>
      <c r="G434" s="387">
        <v>95022</v>
      </c>
      <c r="H434" s="201">
        <v>95062</v>
      </c>
      <c r="I434" s="387">
        <v>56</v>
      </c>
      <c r="J434" s="201">
        <v>80</v>
      </c>
      <c r="K434" s="389"/>
      <c r="L434" s="389"/>
      <c r="M434" s="389"/>
      <c r="N434" s="202"/>
      <c r="O434" s="202"/>
      <c r="P434" s="202"/>
      <c r="Q434" s="389"/>
      <c r="R434" s="201"/>
      <c r="S434" s="225">
        <f t="shared" si="28"/>
        <v>5570</v>
      </c>
      <c r="T434" s="229">
        <f t="shared" si="29"/>
        <v>5666</v>
      </c>
      <c r="U434" s="387">
        <v>3635</v>
      </c>
      <c r="V434" s="201">
        <v>3081</v>
      </c>
      <c r="W434" s="387">
        <v>1935</v>
      </c>
      <c r="X434" s="201">
        <v>2585</v>
      </c>
      <c r="Y434" s="389"/>
      <c r="Z434" s="389"/>
      <c r="AA434" s="389"/>
      <c r="AB434" s="202"/>
      <c r="AC434" s="202"/>
      <c r="AD434" s="202"/>
      <c r="AE434" s="389"/>
      <c r="AF434" s="240"/>
    </row>
    <row r="435" spans="1:32" s="203" customFormat="1">
      <c r="A435" s="399" t="s">
        <v>136</v>
      </c>
      <c r="B435" s="400" t="s">
        <v>851</v>
      </c>
      <c r="C435" s="399">
        <v>218229</v>
      </c>
      <c r="D435" s="401">
        <v>5</v>
      </c>
      <c r="E435" s="225">
        <f t="shared" si="26"/>
        <v>67602</v>
      </c>
      <c r="F435" s="229">
        <f t="shared" si="27"/>
        <v>69162.5</v>
      </c>
      <c r="G435" s="387">
        <v>65832.5</v>
      </c>
      <c r="H435" s="201">
        <v>64423</v>
      </c>
      <c r="I435" s="387">
        <v>1249.5</v>
      </c>
      <c r="J435" s="201">
        <v>620</v>
      </c>
      <c r="K435" s="389">
        <v>520</v>
      </c>
      <c r="L435" s="389"/>
      <c r="M435" s="389"/>
      <c r="N435" s="202">
        <v>3369.5</v>
      </c>
      <c r="O435" s="202">
        <v>750</v>
      </c>
      <c r="P435" s="202"/>
      <c r="Q435" s="389"/>
      <c r="R435" s="201"/>
      <c r="S435" s="225">
        <f t="shared" si="28"/>
        <v>1507</v>
      </c>
      <c r="T435" s="229">
        <f t="shared" si="29"/>
        <v>1626</v>
      </c>
      <c r="U435" s="387">
        <v>1507</v>
      </c>
      <c r="V435" s="201">
        <v>972</v>
      </c>
      <c r="W435" s="387"/>
      <c r="X435" s="201">
        <v>270</v>
      </c>
      <c r="Y435" s="389"/>
      <c r="Z435" s="389"/>
      <c r="AA435" s="389"/>
      <c r="AB435" s="202">
        <v>384</v>
      </c>
      <c r="AC435" s="202"/>
      <c r="AD435" s="202"/>
      <c r="AE435" s="389"/>
      <c r="AF435" s="240"/>
    </row>
    <row r="436" spans="1:32" s="203" customFormat="1">
      <c r="A436" s="399" t="s">
        <v>136</v>
      </c>
      <c r="B436" s="400" t="s">
        <v>852</v>
      </c>
      <c r="C436" s="399">
        <v>218733</v>
      </c>
      <c r="D436" s="401">
        <v>5</v>
      </c>
      <c r="E436" s="225">
        <f t="shared" si="26"/>
        <v>124918</v>
      </c>
      <c r="F436" s="229">
        <f t="shared" si="27"/>
        <v>125474</v>
      </c>
      <c r="G436" s="387">
        <v>124200</v>
      </c>
      <c r="H436" s="201">
        <v>125145</v>
      </c>
      <c r="I436" s="387">
        <v>693</v>
      </c>
      <c r="J436" s="201">
        <v>329</v>
      </c>
      <c r="K436" s="389"/>
      <c r="L436" s="389"/>
      <c r="M436" s="389">
        <v>25</v>
      </c>
      <c r="N436" s="202"/>
      <c r="O436" s="202"/>
      <c r="P436" s="202"/>
      <c r="Q436" s="389"/>
      <c r="R436" s="201"/>
      <c r="S436" s="225">
        <f t="shared" si="28"/>
        <v>11110</v>
      </c>
      <c r="T436" s="229">
        <f t="shared" si="29"/>
        <v>12370</v>
      </c>
      <c r="U436" s="387">
        <v>9554</v>
      </c>
      <c r="V436" s="201">
        <v>10780</v>
      </c>
      <c r="W436" s="387">
        <v>1361</v>
      </c>
      <c r="X436" s="201">
        <v>918</v>
      </c>
      <c r="Y436" s="389"/>
      <c r="Z436" s="389"/>
      <c r="AA436" s="389">
        <v>195</v>
      </c>
      <c r="AB436" s="202">
        <v>672</v>
      </c>
      <c r="AC436" s="202"/>
      <c r="AD436" s="202"/>
      <c r="AE436" s="389"/>
      <c r="AF436" s="240"/>
    </row>
    <row r="437" spans="1:32" s="203" customFormat="1">
      <c r="A437" s="399" t="s">
        <v>136</v>
      </c>
      <c r="B437" s="400" t="s">
        <v>853</v>
      </c>
      <c r="C437" s="399">
        <v>218645</v>
      </c>
      <c r="D437" s="401">
        <v>6</v>
      </c>
      <c r="E437" s="225">
        <f t="shared" si="26"/>
        <v>80738</v>
      </c>
      <c r="F437" s="229">
        <f t="shared" si="27"/>
        <v>81503</v>
      </c>
      <c r="G437" s="387">
        <v>76726</v>
      </c>
      <c r="H437" s="201">
        <v>77213</v>
      </c>
      <c r="I437" s="387">
        <v>3390</v>
      </c>
      <c r="J437" s="201">
        <v>3643</v>
      </c>
      <c r="K437" s="389">
        <v>622</v>
      </c>
      <c r="L437" s="389"/>
      <c r="M437" s="389"/>
      <c r="N437" s="202">
        <v>647</v>
      </c>
      <c r="O437" s="202"/>
      <c r="P437" s="202"/>
      <c r="Q437" s="389"/>
      <c r="R437" s="201"/>
      <c r="S437" s="225">
        <f t="shared" si="28"/>
        <v>1490</v>
      </c>
      <c r="T437" s="229">
        <f t="shared" si="29"/>
        <v>1490</v>
      </c>
      <c r="U437" s="387">
        <v>1250</v>
      </c>
      <c r="V437" s="201">
        <v>807</v>
      </c>
      <c r="W437" s="387">
        <v>45</v>
      </c>
      <c r="X437" s="201">
        <v>470</v>
      </c>
      <c r="Y437" s="389">
        <v>195</v>
      </c>
      <c r="Z437" s="389"/>
      <c r="AA437" s="389"/>
      <c r="AB437" s="202">
        <v>213</v>
      </c>
      <c r="AC437" s="202"/>
      <c r="AD437" s="202"/>
      <c r="AE437" s="389"/>
      <c r="AF437" s="240"/>
    </row>
    <row r="438" spans="1:32" s="203" customFormat="1">
      <c r="A438" s="399" t="s">
        <v>136</v>
      </c>
      <c r="B438" s="400" t="s">
        <v>854</v>
      </c>
      <c r="C438" s="399">
        <v>218742</v>
      </c>
      <c r="D438" s="401">
        <v>6</v>
      </c>
      <c r="E438" s="225">
        <f t="shared" si="26"/>
        <v>133906</v>
      </c>
      <c r="F438" s="229">
        <f t="shared" si="27"/>
        <v>137057</v>
      </c>
      <c r="G438" s="387">
        <v>114299</v>
      </c>
      <c r="H438" s="201">
        <v>115967</v>
      </c>
      <c r="I438" s="387">
        <v>19607</v>
      </c>
      <c r="J438" s="201">
        <v>21090</v>
      </c>
      <c r="K438" s="389"/>
      <c r="L438" s="389"/>
      <c r="M438" s="389"/>
      <c r="N438" s="202"/>
      <c r="O438" s="202"/>
      <c r="P438" s="202"/>
      <c r="Q438" s="389"/>
      <c r="R438" s="201"/>
      <c r="S438" s="225">
        <f t="shared" si="28"/>
        <v>1179</v>
      </c>
      <c r="T438" s="229">
        <f t="shared" si="29"/>
        <v>1156</v>
      </c>
      <c r="U438" s="387">
        <v>771</v>
      </c>
      <c r="V438" s="201">
        <v>409</v>
      </c>
      <c r="W438" s="387">
        <v>408</v>
      </c>
      <c r="X438" s="201">
        <v>747</v>
      </c>
      <c r="Y438" s="389"/>
      <c r="Z438" s="389"/>
      <c r="AA438" s="389"/>
      <c r="AB438" s="202"/>
      <c r="AC438" s="202"/>
      <c r="AD438" s="202"/>
      <c r="AE438" s="389"/>
      <c r="AF438" s="240"/>
    </row>
    <row r="439" spans="1:32" s="203" customFormat="1">
      <c r="A439" s="399" t="s">
        <v>136</v>
      </c>
      <c r="B439" s="400" t="s">
        <v>855</v>
      </c>
      <c r="C439" s="399">
        <v>218654</v>
      </c>
      <c r="D439" s="401">
        <v>7</v>
      </c>
      <c r="E439" s="225">
        <f t="shared" si="26"/>
        <v>32840</v>
      </c>
      <c r="F439" s="229">
        <f t="shared" si="27"/>
        <v>35651</v>
      </c>
      <c r="G439" s="387">
        <v>26950</v>
      </c>
      <c r="H439" s="201">
        <v>30275</v>
      </c>
      <c r="I439" s="387">
        <v>4557</v>
      </c>
      <c r="J439" s="201">
        <v>4205</v>
      </c>
      <c r="K439" s="389">
        <v>1333</v>
      </c>
      <c r="L439" s="389"/>
      <c r="M439" s="389"/>
      <c r="N439" s="202">
        <v>1171</v>
      </c>
      <c r="O439" s="202"/>
      <c r="P439" s="202"/>
      <c r="Q439" s="389"/>
      <c r="R439" s="201"/>
      <c r="S439" s="225">
        <f t="shared" si="28"/>
        <v>0</v>
      </c>
      <c r="T439" s="229">
        <f t="shared" si="29"/>
        <v>0</v>
      </c>
      <c r="U439" s="387"/>
      <c r="V439" s="201"/>
      <c r="W439" s="387"/>
      <c r="X439" s="201"/>
      <c r="Y439" s="389"/>
      <c r="Z439" s="389"/>
      <c r="AA439" s="389"/>
      <c r="AB439" s="202"/>
      <c r="AC439" s="202"/>
      <c r="AD439" s="202"/>
      <c r="AE439" s="389"/>
      <c r="AF439" s="240"/>
    </row>
    <row r="440" spans="1:32" s="203" customFormat="1">
      <c r="A440" s="399" t="s">
        <v>136</v>
      </c>
      <c r="B440" s="400" t="s">
        <v>856</v>
      </c>
      <c r="C440" s="399">
        <v>218113</v>
      </c>
      <c r="D440" s="401">
        <v>8</v>
      </c>
      <c r="E440" s="225">
        <f t="shared" si="26"/>
        <v>312939</v>
      </c>
      <c r="F440" s="229">
        <f t="shared" si="27"/>
        <v>326553.39</v>
      </c>
      <c r="G440" s="387">
        <v>273228</v>
      </c>
      <c r="H440" s="201">
        <v>251045.39</v>
      </c>
      <c r="I440" s="387">
        <v>21335</v>
      </c>
      <c r="J440" s="201">
        <v>20709</v>
      </c>
      <c r="K440" s="389">
        <v>17956</v>
      </c>
      <c r="L440" s="389">
        <v>159</v>
      </c>
      <c r="M440" s="389">
        <v>261</v>
      </c>
      <c r="N440" s="202">
        <v>51211</v>
      </c>
      <c r="O440" s="202">
        <v>3204</v>
      </c>
      <c r="P440" s="202">
        <v>384</v>
      </c>
      <c r="Q440" s="389"/>
      <c r="R440" s="201"/>
      <c r="S440" s="225">
        <f t="shared" si="28"/>
        <v>0</v>
      </c>
      <c r="T440" s="229">
        <f t="shared" si="29"/>
        <v>0</v>
      </c>
      <c r="U440" s="387"/>
      <c r="V440" s="201"/>
      <c r="W440" s="387"/>
      <c r="X440" s="201"/>
      <c r="Y440" s="389"/>
      <c r="Z440" s="389"/>
      <c r="AA440" s="389"/>
      <c r="AB440" s="202"/>
      <c r="AC440" s="202"/>
      <c r="AD440" s="202"/>
      <c r="AE440" s="389"/>
      <c r="AF440" s="240"/>
    </row>
    <row r="441" spans="1:32" s="203" customFormat="1">
      <c r="A441" s="399" t="s">
        <v>136</v>
      </c>
      <c r="B441" s="400" t="s">
        <v>857</v>
      </c>
      <c r="C441" s="399">
        <v>218353</v>
      </c>
      <c r="D441" s="404">
        <v>8</v>
      </c>
      <c r="E441" s="225">
        <f t="shared" si="26"/>
        <v>254190</v>
      </c>
      <c r="F441" s="229">
        <f t="shared" si="27"/>
        <v>264497.89</v>
      </c>
      <c r="G441" s="387">
        <v>229599</v>
      </c>
      <c r="H441" s="201">
        <v>217146.89</v>
      </c>
      <c r="I441" s="387">
        <v>16034</v>
      </c>
      <c r="J441" s="201">
        <v>17328</v>
      </c>
      <c r="K441" s="389">
        <v>8557</v>
      </c>
      <c r="L441" s="389"/>
      <c r="M441" s="389"/>
      <c r="N441" s="202">
        <v>30023</v>
      </c>
      <c r="O441" s="202"/>
      <c r="P441" s="202"/>
      <c r="Q441" s="389"/>
      <c r="R441" s="201"/>
      <c r="S441" s="225">
        <f t="shared" si="28"/>
        <v>0</v>
      </c>
      <c r="T441" s="229">
        <f t="shared" si="29"/>
        <v>0</v>
      </c>
      <c r="U441" s="387"/>
      <c r="V441" s="201"/>
      <c r="W441" s="387"/>
      <c r="X441" s="201"/>
      <c r="Y441" s="389"/>
      <c r="Z441" s="389"/>
      <c r="AA441" s="389"/>
      <c r="AB441" s="202"/>
      <c r="AC441" s="202"/>
      <c r="AD441" s="202"/>
      <c r="AE441" s="389"/>
      <c r="AF441" s="240"/>
    </row>
    <row r="442" spans="1:32" s="203" customFormat="1">
      <c r="A442" s="399" t="s">
        <v>136</v>
      </c>
      <c r="B442" s="400" t="s">
        <v>858</v>
      </c>
      <c r="C442" s="399">
        <v>218894</v>
      </c>
      <c r="D442" s="401">
        <v>8</v>
      </c>
      <c r="E442" s="225">
        <f t="shared" si="26"/>
        <v>271390</v>
      </c>
      <c r="F442" s="229">
        <f t="shared" si="27"/>
        <v>286829.2</v>
      </c>
      <c r="G442" s="387">
        <v>244763</v>
      </c>
      <c r="H442" s="201">
        <v>223730.2</v>
      </c>
      <c r="I442" s="387">
        <v>8000</v>
      </c>
      <c r="J442" s="201">
        <v>8715</v>
      </c>
      <c r="K442" s="389">
        <v>17709</v>
      </c>
      <c r="L442" s="389">
        <v>156</v>
      </c>
      <c r="M442" s="389">
        <v>762</v>
      </c>
      <c r="N442" s="202">
        <v>51588</v>
      </c>
      <c r="O442" s="202">
        <v>930</v>
      </c>
      <c r="P442" s="202">
        <v>1866</v>
      </c>
      <c r="Q442" s="389"/>
      <c r="R442" s="201"/>
      <c r="S442" s="225">
        <f t="shared" si="28"/>
        <v>0</v>
      </c>
      <c r="T442" s="229">
        <f t="shared" si="29"/>
        <v>0</v>
      </c>
      <c r="U442" s="387"/>
      <c r="V442" s="201"/>
      <c r="W442" s="387"/>
      <c r="X442" s="201"/>
      <c r="Y442" s="389"/>
      <c r="Z442" s="389"/>
      <c r="AA442" s="389"/>
      <c r="AB442" s="202"/>
      <c r="AC442" s="202"/>
      <c r="AD442" s="202"/>
      <c r="AE442" s="389"/>
      <c r="AF442" s="240"/>
    </row>
    <row r="443" spans="1:32" s="203" customFormat="1">
      <c r="A443" s="399" t="s">
        <v>136</v>
      </c>
      <c r="B443" s="402" t="s">
        <v>859</v>
      </c>
      <c r="C443" s="399">
        <v>217615</v>
      </c>
      <c r="D443" s="401">
        <v>9</v>
      </c>
      <c r="E443" s="225">
        <f t="shared" si="26"/>
        <v>64797</v>
      </c>
      <c r="F443" s="229">
        <f t="shared" si="27"/>
        <v>68139.72</v>
      </c>
      <c r="G443" s="387">
        <v>60001</v>
      </c>
      <c r="H443" s="201">
        <v>55396.72</v>
      </c>
      <c r="I443" s="387">
        <v>2783</v>
      </c>
      <c r="J443" s="201">
        <v>3397</v>
      </c>
      <c r="K443" s="389">
        <v>2013</v>
      </c>
      <c r="L443" s="389"/>
      <c r="M443" s="389"/>
      <c r="N443" s="202">
        <v>9346</v>
      </c>
      <c r="O443" s="202"/>
      <c r="P443" s="202"/>
      <c r="Q443" s="389"/>
      <c r="R443" s="201"/>
      <c r="S443" s="225">
        <f t="shared" si="28"/>
        <v>0</v>
      </c>
      <c r="T443" s="229">
        <f t="shared" si="29"/>
        <v>0</v>
      </c>
      <c r="U443" s="387"/>
      <c r="V443" s="201"/>
      <c r="W443" s="387"/>
      <c r="X443" s="201"/>
      <c r="Y443" s="389"/>
      <c r="Z443" s="389"/>
      <c r="AA443" s="389"/>
      <c r="AB443" s="202"/>
      <c r="AC443" s="202"/>
      <c r="AD443" s="202"/>
      <c r="AE443" s="389"/>
      <c r="AF443" s="240"/>
    </row>
    <row r="444" spans="1:32" s="203" customFormat="1">
      <c r="A444" s="399" t="s">
        <v>136</v>
      </c>
      <c r="B444" s="400" t="s">
        <v>860</v>
      </c>
      <c r="C444" s="399">
        <v>218858</v>
      </c>
      <c r="D444" s="401">
        <v>9</v>
      </c>
      <c r="E444" s="225">
        <f t="shared" si="26"/>
        <v>68206</v>
      </c>
      <c r="F444" s="229">
        <f t="shared" si="27"/>
        <v>72580.78</v>
      </c>
      <c r="G444" s="387">
        <v>58696</v>
      </c>
      <c r="H444" s="201">
        <v>53363.78</v>
      </c>
      <c r="I444" s="387">
        <v>9510</v>
      </c>
      <c r="J444" s="201">
        <v>9212</v>
      </c>
      <c r="K444" s="389"/>
      <c r="L444" s="389"/>
      <c r="M444" s="389"/>
      <c r="N444" s="202">
        <v>9741</v>
      </c>
      <c r="O444" s="202">
        <v>264</v>
      </c>
      <c r="P444" s="202"/>
      <c r="Q444" s="389"/>
      <c r="R444" s="201"/>
      <c r="S444" s="225">
        <f t="shared" si="28"/>
        <v>0</v>
      </c>
      <c r="T444" s="229">
        <f t="shared" si="29"/>
        <v>0</v>
      </c>
      <c r="U444" s="387"/>
      <c r="V444" s="201"/>
      <c r="W444" s="387"/>
      <c r="X444" s="201"/>
      <c r="Y444" s="389"/>
      <c r="Z444" s="389"/>
      <c r="AA444" s="389"/>
      <c r="AB444" s="202"/>
      <c r="AC444" s="202"/>
      <c r="AD444" s="202"/>
      <c r="AE444" s="389"/>
      <c r="AF444" s="240"/>
    </row>
    <row r="445" spans="1:32" s="203" customFormat="1">
      <c r="A445" s="399" t="s">
        <v>136</v>
      </c>
      <c r="B445" s="400" t="s">
        <v>861</v>
      </c>
      <c r="C445" s="399">
        <v>218025</v>
      </c>
      <c r="D445" s="401">
        <v>9</v>
      </c>
      <c r="E445" s="225">
        <f t="shared" si="26"/>
        <v>99582</v>
      </c>
      <c r="F445" s="229">
        <f t="shared" si="27"/>
        <v>107799.95999999999</v>
      </c>
      <c r="G445" s="387">
        <v>87024</v>
      </c>
      <c r="H445" s="201">
        <v>81549.959999999992</v>
      </c>
      <c r="I445" s="387">
        <v>12558</v>
      </c>
      <c r="J445" s="201">
        <v>9276</v>
      </c>
      <c r="K445" s="389"/>
      <c r="L445" s="389"/>
      <c r="M445" s="389"/>
      <c r="N445" s="202">
        <v>11807</v>
      </c>
      <c r="O445" s="202">
        <v>5167</v>
      </c>
      <c r="P445" s="202"/>
      <c r="Q445" s="389"/>
      <c r="R445" s="201"/>
      <c r="S445" s="225">
        <f t="shared" si="28"/>
        <v>0</v>
      </c>
      <c r="T445" s="229">
        <f t="shared" si="29"/>
        <v>0</v>
      </c>
      <c r="U445" s="387"/>
      <c r="V445" s="201"/>
      <c r="W445" s="387"/>
      <c r="X445" s="201"/>
      <c r="Y445" s="389"/>
      <c r="Z445" s="389"/>
      <c r="AA445" s="389"/>
      <c r="AB445" s="202"/>
      <c r="AC445" s="202"/>
      <c r="AD445" s="202"/>
      <c r="AE445" s="389"/>
      <c r="AF445" s="240"/>
    </row>
    <row r="446" spans="1:32" s="203" customFormat="1">
      <c r="A446" s="399" t="s">
        <v>136</v>
      </c>
      <c r="B446" s="400" t="s">
        <v>862</v>
      </c>
      <c r="C446" s="399">
        <v>218140</v>
      </c>
      <c r="D446" s="404">
        <v>9</v>
      </c>
      <c r="E446" s="225">
        <f t="shared" si="26"/>
        <v>128383</v>
      </c>
      <c r="F446" s="229">
        <f t="shared" si="27"/>
        <v>133489.25</v>
      </c>
      <c r="G446" s="387">
        <v>122243</v>
      </c>
      <c r="H446" s="201">
        <v>111208.25</v>
      </c>
      <c r="I446" s="387">
        <v>5985</v>
      </c>
      <c r="J446" s="201">
        <v>6517</v>
      </c>
      <c r="K446" s="389">
        <v>155</v>
      </c>
      <c r="L446" s="389"/>
      <c r="M446" s="389"/>
      <c r="N446" s="202">
        <v>14648</v>
      </c>
      <c r="O446" s="202">
        <v>1116</v>
      </c>
      <c r="P446" s="202"/>
      <c r="Q446" s="389"/>
      <c r="R446" s="201"/>
      <c r="S446" s="225">
        <f t="shared" si="28"/>
        <v>0</v>
      </c>
      <c r="T446" s="229">
        <f t="shared" si="29"/>
        <v>0</v>
      </c>
      <c r="U446" s="387"/>
      <c r="V446" s="201"/>
      <c r="W446" s="387"/>
      <c r="X446" s="201"/>
      <c r="Y446" s="389"/>
      <c r="Z446" s="389"/>
      <c r="AA446" s="389"/>
      <c r="AB446" s="202"/>
      <c r="AC446" s="202"/>
      <c r="AD446" s="202"/>
      <c r="AE446" s="389"/>
      <c r="AF446" s="240"/>
    </row>
    <row r="447" spans="1:32" s="203" customFormat="1">
      <c r="A447" s="399" t="s">
        <v>136</v>
      </c>
      <c r="B447" s="400" t="s">
        <v>863</v>
      </c>
      <c r="C447" s="399">
        <v>218487</v>
      </c>
      <c r="D447" s="401">
        <v>9</v>
      </c>
      <c r="E447" s="225">
        <f t="shared" si="26"/>
        <v>61271</v>
      </c>
      <c r="F447" s="229">
        <f t="shared" si="27"/>
        <v>62363.15</v>
      </c>
      <c r="G447" s="387">
        <v>52405</v>
      </c>
      <c r="H447" s="201">
        <v>49277.15</v>
      </c>
      <c r="I447" s="387">
        <v>6736</v>
      </c>
      <c r="J447" s="201">
        <v>7469</v>
      </c>
      <c r="K447" s="389">
        <v>2130</v>
      </c>
      <c r="L447" s="389"/>
      <c r="M447" s="389"/>
      <c r="N447" s="202">
        <v>5617</v>
      </c>
      <c r="O447" s="202"/>
      <c r="P447" s="202"/>
      <c r="Q447" s="389"/>
      <c r="R447" s="201"/>
      <c r="S447" s="225">
        <f t="shared" si="28"/>
        <v>0</v>
      </c>
      <c r="T447" s="229">
        <f t="shared" si="29"/>
        <v>0</v>
      </c>
      <c r="U447" s="387"/>
      <c r="V447" s="201"/>
      <c r="W447" s="387"/>
      <c r="X447" s="201"/>
      <c r="Y447" s="389"/>
      <c r="Z447" s="389"/>
      <c r="AA447" s="389"/>
      <c r="AB447" s="202"/>
      <c r="AC447" s="202"/>
      <c r="AD447" s="202"/>
      <c r="AE447" s="389"/>
      <c r="AF447" s="240"/>
    </row>
    <row r="448" spans="1:32" s="203" customFormat="1">
      <c r="A448" s="399" t="s">
        <v>136</v>
      </c>
      <c r="B448" s="400" t="s">
        <v>864</v>
      </c>
      <c r="C448" s="399">
        <v>218520</v>
      </c>
      <c r="D448" s="401">
        <v>9</v>
      </c>
      <c r="E448" s="225">
        <f t="shared" si="26"/>
        <v>118468</v>
      </c>
      <c r="F448" s="229">
        <f t="shared" si="27"/>
        <v>121296.55</v>
      </c>
      <c r="G448" s="387">
        <v>94722</v>
      </c>
      <c r="H448" s="201">
        <v>66385.55</v>
      </c>
      <c r="I448" s="387">
        <v>15501</v>
      </c>
      <c r="J448" s="201">
        <v>16268</v>
      </c>
      <c r="K448" s="389">
        <v>8245</v>
      </c>
      <c r="L448" s="389"/>
      <c r="M448" s="389"/>
      <c r="N448" s="202">
        <v>23970</v>
      </c>
      <c r="O448" s="202">
        <v>14673</v>
      </c>
      <c r="P448" s="202"/>
      <c r="Q448" s="389"/>
      <c r="R448" s="201"/>
      <c r="S448" s="225">
        <f t="shared" si="28"/>
        <v>0</v>
      </c>
      <c r="T448" s="229">
        <f t="shared" si="29"/>
        <v>0</v>
      </c>
      <c r="U448" s="387"/>
      <c r="V448" s="201"/>
      <c r="W448" s="387"/>
      <c r="X448" s="201"/>
      <c r="Y448" s="389"/>
      <c r="Z448" s="389"/>
      <c r="AA448" s="389"/>
      <c r="AB448" s="202"/>
      <c r="AC448" s="202"/>
      <c r="AD448" s="202"/>
      <c r="AE448" s="389"/>
      <c r="AF448" s="240"/>
    </row>
    <row r="449" spans="1:32" s="203" customFormat="1">
      <c r="A449" s="399" t="s">
        <v>136</v>
      </c>
      <c r="B449" s="400" t="s">
        <v>865</v>
      </c>
      <c r="C449" s="399">
        <v>218830</v>
      </c>
      <c r="D449" s="401">
        <v>9</v>
      </c>
      <c r="E449" s="225">
        <f t="shared" si="26"/>
        <v>108099</v>
      </c>
      <c r="F449" s="229">
        <f t="shared" si="27"/>
        <v>114583.45</v>
      </c>
      <c r="G449" s="387">
        <v>99375</v>
      </c>
      <c r="H449" s="201">
        <v>97200.45</v>
      </c>
      <c r="I449" s="387">
        <v>5590</v>
      </c>
      <c r="J449" s="201">
        <v>5261</v>
      </c>
      <c r="K449" s="389">
        <v>3134</v>
      </c>
      <c r="L449" s="389"/>
      <c r="M449" s="389"/>
      <c r="N449" s="202">
        <v>11942</v>
      </c>
      <c r="O449" s="202">
        <v>132</v>
      </c>
      <c r="P449" s="202">
        <v>48</v>
      </c>
      <c r="Q449" s="389"/>
      <c r="R449" s="201"/>
      <c r="S449" s="225">
        <f t="shared" si="28"/>
        <v>0</v>
      </c>
      <c r="T449" s="229">
        <f t="shared" si="29"/>
        <v>0</v>
      </c>
      <c r="U449" s="387"/>
      <c r="V449" s="201"/>
      <c r="W449" s="387"/>
      <c r="X449" s="201"/>
      <c r="Y449" s="389"/>
      <c r="Z449" s="389"/>
      <c r="AA449" s="389"/>
      <c r="AB449" s="202"/>
      <c r="AC449" s="202"/>
      <c r="AD449" s="202"/>
      <c r="AE449" s="389"/>
      <c r="AF449" s="240"/>
    </row>
    <row r="450" spans="1:32" s="203" customFormat="1">
      <c r="A450" s="399" t="s">
        <v>136</v>
      </c>
      <c r="B450" s="400" t="s">
        <v>866</v>
      </c>
      <c r="C450" s="399">
        <v>218885</v>
      </c>
      <c r="D450" s="401">
        <v>9</v>
      </c>
      <c r="E450" s="225">
        <f t="shared" si="26"/>
        <v>128234</v>
      </c>
      <c r="F450" s="229">
        <f t="shared" si="27"/>
        <v>139029.47</v>
      </c>
      <c r="G450" s="387">
        <v>119716</v>
      </c>
      <c r="H450" s="201">
        <v>114761.47</v>
      </c>
      <c r="I450" s="387">
        <v>2652</v>
      </c>
      <c r="J450" s="201">
        <v>5339</v>
      </c>
      <c r="K450" s="389">
        <v>5866</v>
      </c>
      <c r="L450" s="389"/>
      <c r="M450" s="389"/>
      <c r="N450" s="202">
        <v>18929</v>
      </c>
      <c r="O450" s="202"/>
      <c r="P450" s="202"/>
      <c r="Q450" s="389"/>
      <c r="R450" s="201"/>
      <c r="S450" s="225">
        <f t="shared" si="28"/>
        <v>0</v>
      </c>
      <c r="T450" s="229">
        <f t="shared" si="29"/>
        <v>0</v>
      </c>
      <c r="U450" s="387"/>
      <c r="V450" s="201"/>
      <c r="W450" s="387"/>
      <c r="X450" s="201"/>
      <c r="Y450" s="389"/>
      <c r="Z450" s="389"/>
      <c r="AA450" s="389"/>
      <c r="AB450" s="202"/>
      <c r="AC450" s="202"/>
      <c r="AD450" s="202"/>
      <c r="AE450" s="389"/>
      <c r="AF450" s="240"/>
    </row>
    <row r="451" spans="1:32" s="203" customFormat="1">
      <c r="A451" s="399" t="s">
        <v>136</v>
      </c>
      <c r="B451" s="400" t="s">
        <v>867</v>
      </c>
      <c r="C451" s="399">
        <v>218991</v>
      </c>
      <c r="D451" s="401">
        <v>9</v>
      </c>
      <c r="E451" s="225">
        <f t="shared" si="26"/>
        <v>112449</v>
      </c>
      <c r="F451" s="229">
        <f t="shared" si="27"/>
        <v>122659.51999999999</v>
      </c>
      <c r="G451" s="387">
        <v>103481</v>
      </c>
      <c r="H451" s="201">
        <v>83346.51999999999</v>
      </c>
      <c r="I451" s="387">
        <v>8068</v>
      </c>
      <c r="J451" s="201">
        <v>10417</v>
      </c>
      <c r="K451" s="389">
        <v>62</v>
      </c>
      <c r="L451" s="389">
        <v>838</v>
      </c>
      <c r="M451" s="389"/>
      <c r="N451" s="202">
        <v>21453</v>
      </c>
      <c r="O451" s="202">
        <v>6393</v>
      </c>
      <c r="P451" s="202">
        <v>1050</v>
      </c>
      <c r="Q451" s="389"/>
      <c r="R451" s="201"/>
      <c r="S451" s="225">
        <f t="shared" si="28"/>
        <v>0</v>
      </c>
      <c r="T451" s="229">
        <f t="shared" si="29"/>
        <v>0</v>
      </c>
      <c r="U451" s="387"/>
      <c r="V451" s="201"/>
      <c r="W451" s="387"/>
      <c r="X451" s="201"/>
      <c r="Y451" s="389"/>
      <c r="Z451" s="389"/>
      <c r="AA451" s="389"/>
      <c r="AB451" s="202"/>
      <c r="AC451" s="202"/>
      <c r="AD451" s="202"/>
      <c r="AE451" s="389"/>
      <c r="AF451" s="240"/>
    </row>
    <row r="452" spans="1:32" s="203" customFormat="1">
      <c r="A452" s="399" t="s">
        <v>136</v>
      </c>
      <c r="B452" s="400" t="s">
        <v>868</v>
      </c>
      <c r="C452" s="399">
        <v>217989</v>
      </c>
      <c r="D452" s="401">
        <v>10</v>
      </c>
      <c r="E452" s="225">
        <f t="shared" si="26"/>
        <v>34905</v>
      </c>
      <c r="F452" s="229">
        <f t="shared" si="27"/>
        <v>37777.600000000006</v>
      </c>
      <c r="G452" s="387">
        <v>34200</v>
      </c>
      <c r="H452" s="201">
        <v>34297.600000000006</v>
      </c>
      <c r="I452" s="387">
        <v>705</v>
      </c>
      <c r="J452" s="201">
        <v>1719</v>
      </c>
      <c r="K452" s="389"/>
      <c r="L452" s="389"/>
      <c r="M452" s="389"/>
      <c r="N452" s="202">
        <v>1761</v>
      </c>
      <c r="O452" s="202"/>
      <c r="P452" s="202"/>
      <c r="Q452" s="389"/>
      <c r="R452" s="201"/>
      <c r="S452" s="225">
        <f t="shared" si="28"/>
        <v>0</v>
      </c>
      <c r="T452" s="229">
        <f t="shared" si="29"/>
        <v>0</v>
      </c>
      <c r="U452" s="387"/>
      <c r="V452" s="201"/>
      <c r="W452" s="387"/>
      <c r="X452" s="201"/>
      <c r="Y452" s="389"/>
      <c r="Z452" s="389"/>
      <c r="AA452" s="389"/>
      <c r="AB452" s="202"/>
      <c r="AC452" s="202"/>
      <c r="AD452" s="202"/>
      <c r="AE452" s="389"/>
      <c r="AF452" s="240"/>
    </row>
    <row r="453" spans="1:32" s="203" customFormat="1">
      <c r="A453" s="399" t="s">
        <v>136</v>
      </c>
      <c r="B453" s="400" t="s">
        <v>869</v>
      </c>
      <c r="C453" s="399">
        <v>217837</v>
      </c>
      <c r="D453" s="404">
        <v>10</v>
      </c>
      <c r="E453" s="225">
        <f t="shared" si="26"/>
        <v>27578</v>
      </c>
      <c r="F453" s="229">
        <f t="shared" si="27"/>
        <v>25663.86</v>
      </c>
      <c r="G453" s="387">
        <v>27578</v>
      </c>
      <c r="H453" s="201">
        <v>21023.86</v>
      </c>
      <c r="I453" s="387">
        <v>0</v>
      </c>
      <c r="J453" s="201">
        <v>30</v>
      </c>
      <c r="K453" s="389"/>
      <c r="L453" s="389"/>
      <c r="M453" s="389"/>
      <c r="N453" s="202">
        <v>1113</v>
      </c>
      <c r="O453" s="202">
        <v>3497</v>
      </c>
      <c r="P453" s="202"/>
      <c r="Q453" s="389"/>
      <c r="R453" s="201"/>
      <c r="S453" s="225">
        <f t="shared" si="28"/>
        <v>0</v>
      </c>
      <c r="T453" s="229">
        <f t="shared" si="29"/>
        <v>0</v>
      </c>
      <c r="U453" s="387"/>
      <c r="V453" s="201"/>
      <c r="W453" s="387"/>
      <c r="X453" s="201"/>
      <c r="Y453" s="389"/>
      <c r="Z453" s="389"/>
      <c r="AA453" s="389"/>
      <c r="AB453" s="202"/>
      <c r="AC453" s="202"/>
      <c r="AD453" s="202"/>
      <c r="AE453" s="389"/>
      <c r="AF453" s="240"/>
    </row>
    <row r="454" spans="1:32" s="203" customFormat="1">
      <c r="A454" s="399" t="s">
        <v>136</v>
      </c>
      <c r="B454" s="400" t="s">
        <v>870</v>
      </c>
      <c r="C454" s="399">
        <v>217712</v>
      </c>
      <c r="D454" s="401">
        <v>10</v>
      </c>
      <c r="E454" s="225">
        <f t="shared" ref="E454:E517" si="30">SUM(G454,I454,K454,L454,M454,Q454)</f>
        <v>43695</v>
      </c>
      <c r="F454" s="229">
        <f t="shared" ref="F454:F517" si="31">SUM(H454,J454,N454,O454,P454,R454)</f>
        <v>45771.450000000004</v>
      </c>
      <c r="G454" s="387">
        <v>42795</v>
      </c>
      <c r="H454" s="201">
        <v>34221.450000000004</v>
      </c>
      <c r="I454" s="387">
        <v>900</v>
      </c>
      <c r="J454" s="201">
        <v>985</v>
      </c>
      <c r="K454" s="389"/>
      <c r="L454" s="389"/>
      <c r="M454" s="389"/>
      <c r="N454" s="202">
        <v>6715</v>
      </c>
      <c r="O454" s="202">
        <v>2192</v>
      </c>
      <c r="P454" s="202">
        <v>1658</v>
      </c>
      <c r="Q454" s="389"/>
      <c r="R454" s="201"/>
      <c r="S454" s="225">
        <f t="shared" ref="S454:S517" si="32">SUM(U454,W454,Y454,Z454,AA454,AE454)</f>
        <v>0</v>
      </c>
      <c r="T454" s="229">
        <f t="shared" ref="T454:T517" si="33">SUM(V454,X454,AB454,AC454,AD454,AF454)</f>
        <v>0</v>
      </c>
      <c r="U454" s="387"/>
      <c r="V454" s="201"/>
      <c r="W454" s="387"/>
      <c r="X454" s="201"/>
      <c r="Y454" s="389"/>
      <c r="Z454" s="389"/>
      <c r="AA454" s="389"/>
      <c r="AB454" s="202"/>
      <c r="AC454" s="202"/>
      <c r="AD454" s="202"/>
      <c r="AE454" s="389"/>
      <c r="AF454" s="240"/>
    </row>
    <row r="455" spans="1:32" s="203" customFormat="1">
      <c r="A455" s="399" t="s">
        <v>136</v>
      </c>
      <c r="B455" s="400" t="s">
        <v>871</v>
      </c>
      <c r="C455" s="399">
        <v>218672</v>
      </c>
      <c r="D455" s="401">
        <v>10</v>
      </c>
      <c r="E455" s="225">
        <f t="shared" si="30"/>
        <v>28528</v>
      </c>
      <c r="F455" s="229">
        <f t="shared" si="31"/>
        <v>30751</v>
      </c>
      <c r="G455" s="387">
        <v>27194</v>
      </c>
      <c r="H455" s="201">
        <v>29988</v>
      </c>
      <c r="I455" s="387">
        <v>1334</v>
      </c>
      <c r="J455" s="201">
        <v>763</v>
      </c>
      <c r="K455" s="389"/>
      <c r="L455" s="389"/>
      <c r="M455" s="389"/>
      <c r="N455" s="202"/>
      <c r="O455" s="202"/>
      <c r="P455" s="202"/>
      <c r="Q455" s="389"/>
      <c r="R455" s="201"/>
      <c r="S455" s="225">
        <f t="shared" si="32"/>
        <v>0</v>
      </c>
      <c r="T455" s="229">
        <f t="shared" si="33"/>
        <v>0</v>
      </c>
      <c r="U455" s="387"/>
      <c r="V455" s="201"/>
      <c r="W455" s="387"/>
      <c r="X455" s="201"/>
      <c r="Y455" s="389"/>
      <c r="Z455" s="389"/>
      <c r="AA455" s="389"/>
      <c r="AB455" s="202"/>
      <c r="AC455" s="202"/>
      <c r="AD455" s="202"/>
      <c r="AE455" s="389"/>
      <c r="AF455" s="240"/>
    </row>
    <row r="456" spans="1:32" s="203" customFormat="1">
      <c r="A456" s="399" t="s">
        <v>136</v>
      </c>
      <c r="B456" s="400" t="s">
        <v>872</v>
      </c>
      <c r="C456" s="399">
        <v>218681</v>
      </c>
      <c r="D456" s="401">
        <v>10</v>
      </c>
      <c r="E456" s="225">
        <f t="shared" si="30"/>
        <v>16570</v>
      </c>
      <c r="F456" s="229">
        <f t="shared" si="31"/>
        <v>18255</v>
      </c>
      <c r="G456" s="387">
        <v>16570</v>
      </c>
      <c r="H456" s="201">
        <v>18255</v>
      </c>
      <c r="I456" s="387">
        <v>0</v>
      </c>
      <c r="J456" s="201"/>
      <c r="K456" s="389"/>
      <c r="L456" s="389"/>
      <c r="M456" s="389"/>
      <c r="N456" s="202"/>
      <c r="O456" s="202"/>
      <c r="P456" s="202"/>
      <c r="Q456" s="389"/>
      <c r="R456" s="201"/>
      <c r="S456" s="225">
        <f t="shared" si="32"/>
        <v>0</v>
      </c>
      <c r="T456" s="229">
        <f t="shared" si="33"/>
        <v>0</v>
      </c>
      <c r="U456" s="387"/>
      <c r="V456" s="201"/>
      <c r="W456" s="387"/>
      <c r="X456" s="201"/>
      <c r="Y456" s="389"/>
      <c r="Z456" s="389"/>
      <c r="AA456" s="389"/>
      <c r="AB456" s="202"/>
      <c r="AC456" s="202"/>
      <c r="AD456" s="202"/>
      <c r="AE456" s="389"/>
      <c r="AF456" s="240"/>
    </row>
    <row r="457" spans="1:32" s="203" customFormat="1">
      <c r="A457" s="399" t="s">
        <v>136</v>
      </c>
      <c r="B457" s="400" t="s">
        <v>873</v>
      </c>
      <c r="C457" s="399">
        <v>218690</v>
      </c>
      <c r="D457" s="401">
        <v>10</v>
      </c>
      <c r="E457" s="225">
        <f t="shared" si="30"/>
        <v>24683</v>
      </c>
      <c r="F457" s="229">
        <f t="shared" si="31"/>
        <v>26103</v>
      </c>
      <c r="G457" s="387">
        <v>21925</v>
      </c>
      <c r="H457" s="201">
        <v>23045</v>
      </c>
      <c r="I457" s="387">
        <v>2758</v>
      </c>
      <c r="J457" s="201">
        <v>3058</v>
      </c>
      <c r="K457" s="389"/>
      <c r="L457" s="389"/>
      <c r="M457" s="389"/>
      <c r="N457" s="202"/>
      <c r="O457" s="202"/>
      <c r="P457" s="202"/>
      <c r="Q457" s="389"/>
      <c r="R457" s="201"/>
      <c r="S457" s="225">
        <f t="shared" si="32"/>
        <v>0</v>
      </c>
      <c r="T457" s="229">
        <f t="shared" si="33"/>
        <v>0</v>
      </c>
      <c r="U457" s="387"/>
      <c r="V457" s="201"/>
      <c r="W457" s="387"/>
      <c r="X457" s="201"/>
      <c r="Y457" s="389"/>
      <c r="Z457" s="389"/>
      <c r="AA457" s="389"/>
      <c r="AB457" s="202"/>
      <c r="AC457" s="202"/>
      <c r="AD457" s="202"/>
      <c r="AE457" s="389"/>
      <c r="AF457" s="240"/>
    </row>
    <row r="458" spans="1:32" s="203" customFormat="1">
      <c r="A458" s="399" t="s">
        <v>136</v>
      </c>
      <c r="B458" s="400" t="s">
        <v>874</v>
      </c>
      <c r="C458" s="399">
        <v>218706</v>
      </c>
      <c r="D458" s="401">
        <v>10</v>
      </c>
      <c r="E458" s="225">
        <f t="shared" si="30"/>
        <v>8229</v>
      </c>
      <c r="F458" s="229">
        <f t="shared" si="31"/>
        <v>8037</v>
      </c>
      <c r="G458" s="387">
        <v>6997</v>
      </c>
      <c r="H458" s="201">
        <v>6709</v>
      </c>
      <c r="I458" s="387">
        <v>1232</v>
      </c>
      <c r="J458" s="201">
        <v>1328</v>
      </c>
      <c r="K458" s="389"/>
      <c r="L458" s="389"/>
      <c r="M458" s="389"/>
      <c r="N458" s="202"/>
      <c r="O458" s="202"/>
      <c r="P458" s="202"/>
      <c r="Q458" s="389"/>
      <c r="R458" s="201"/>
      <c r="S458" s="225">
        <f t="shared" si="32"/>
        <v>0</v>
      </c>
      <c r="T458" s="229">
        <f t="shared" si="33"/>
        <v>0</v>
      </c>
      <c r="U458" s="387"/>
      <c r="V458" s="201"/>
      <c r="W458" s="387"/>
      <c r="X458" s="201"/>
      <c r="Y458" s="389"/>
      <c r="Z458" s="389"/>
      <c r="AA458" s="389"/>
      <c r="AB458" s="202"/>
      <c r="AC458" s="202"/>
      <c r="AD458" s="202"/>
      <c r="AE458" s="389"/>
      <c r="AF458" s="240"/>
    </row>
    <row r="459" spans="1:32" s="203" customFormat="1">
      <c r="A459" s="399" t="s">
        <v>136</v>
      </c>
      <c r="B459" s="400" t="s">
        <v>875</v>
      </c>
      <c r="C459" s="399">
        <v>218955</v>
      </c>
      <c r="D459" s="401">
        <v>10</v>
      </c>
      <c r="E459" s="225">
        <f t="shared" si="30"/>
        <v>15118</v>
      </c>
      <c r="F459" s="229">
        <f t="shared" si="31"/>
        <v>14863.079999999998</v>
      </c>
      <c r="G459" s="387">
        <v>14452</v>
      </c>
      <c r="H459" s="201">
        <v>13998.079999999998</v>
      </c>
      <c r="I459" s="387">
        <v>546</v>
      </c>
      <c r="J459" s="201">
        <v>564</v>
      </c>
      <c r="K459" s="389">
        <v>120</v>
      </c>
      <c r="L459" s="389"/>
      <c r="M459" s="389"/>
      <c r="N459" s="202">
        <v>232</v>
      </c>
      <c r="O459" s="202">
        <v>69</v>
      </c>
      <c r="P459" s="202"/>
      <c r="Q459" s="389"/>
      <c r="R459" s="201"/>
      <c r="S459" s="225">
        <f t="shared" si="32"/>
        <v>0</v>
      </c>
      <c r="T459" s="229">
        <f t="shared" si="33"/>
        <v>0</v>
      </c>
      <c r="U459" s="387"/>
      <c r="V459" s="201"/>
      <c r="W459" s="387"/>
      <c r="X459" s="201"/>
      <c r="Y459" s="389"/>
      <c r="Z459" s="389"/>
      <c r="AA459" s="389"/>
      <c r="AB459" s="202"/>
      <c r="AC459" s="202"/>
      <c r="AD459" s="202"/>
      <c r="AE459" s="389"/>
      <c r="AF459" s="240"/>
    </row>
    <row r="460" spans="1:32" s="203" customFormat="1">
      <c r="A460" s="399" t="s">
        <v>136</v>
      </c>
      <c r="B460" s="400" t="s">
        <v>876</v>
      </c>
      <c r="C460" s="399">
        <v>218335</v>
      </c>
      <c r="D460" s="401">
        <v>15</v>
      </c>
      <c r="E460" s="225">
        <f t="shared" si="30"/>
        <v>0</v>
      </c>
      <c r="F460" s="229">
        <f t="shared" si="31"/>
        <v>0</v>
      </c>
      <c r="G460" s="387"/>
      <c r="H460" s="201"/>
      <c r="I460" s="387"/>
      <c r="J460" s="201"/>
      <c r="K460" s="389"/>
      <c r="L460" s="389"/>
      <c r="M460" s="389"/>
      <c r="N460" s="202"/>
      <c r="O460" s="202"/>
      <c r="P460" s="202"/>
      <c r="Q460" s="389"/>
      <c r="R460" s="201"/>
      <c r="S460" s="225">
        <f t="shared" si="32"/>
        <v>0</v>
      </c>
      <c r="T460" s="229">
        <f t="shared" si="33"/>
        <v>0</v>
      </c>
      <c r="U460" s="387"/>
      <c r="V460" s="201"/>
      <c r="W460" s="387"/>
      <c r="X460" s="201"/>
      <c r="Y460" s="389"/>
      <c r="Z460" s="389"/>
      <c r="AA460" s="389"/>
      <c r="AB460" s="202"/>
      <c r="AC460" s="202"/>
      <c r="AD460" s="202"/>
      <c r="AE460" s="389"/>
      <c r="AF460" s="240"/>
    </row>
    <row r="461" spans="1:32" s="203" customFormat="1">
      <c r="A461" s="275" t="s">
        <v>137</v>
      </c>
      <c r="B461" s="284" t="s">
        <v>575</v>
      </c>
      <c r="C461" s="275">
        <v>221759</v>
      </c>
      <c r="D461" s="367">
        <v>1</v>
      </c>
      <c r="E461" s="225">
        <f t="shared" si="30"/>
        <v>0</v>
      </c>
      <c r="F461" s="229">
        <f t="shared" si="31"/>
        <v>621070</v>
      </c>
      <c r="G461" s="387"/>
      <c r="H461" s="201">
        <v>536731</v>
      </c>
      <c r="I461" s="226"/>
      <c r="J461" s="201">
        <v>325</v>
      </c>
      <c r="K461" s="228"/>
      <c r="L461" s="228"/>
      <c r="M461" s="228"/>
      <c r="N461" s="202">
        <v>899</v>
      </c>
      <c r="O461" s="202">
        <v>601</v>
      </c>
      <c r="P461" s="202">
        <v>82213</v>
      </c>
      <c r="Q461" s="228"/>
      <c r="R461" s="201">
        <v>301</v>
      </c>
      <c r="S461" s="225">
        <f t="shared" si="32"/>
        <v>0</v>
      </c>
      <c r="T461" s="229">
        <f t="shared" si="33"/>
        <v>122357</v>
      </c>
      <c r="U461" s="226"/>
      <c r="V461" s="201">
        <v>102435</v>
      </c>
      <c r="W461" s="226"/>
      <c r="X461" s="201">
        <v>467</v>
      </c>
      <c r="Y461" s="228"/>
      <c r="Z461" s="228"/>
      <c r="AA461" s="228"/>
      <c r="AB461" s="202">
        <v>5870</v>
      </c>
      <c r="AC461" s="202">
        <v>75</v>
      </c>
      <c r="AD461" s="202">
        <v>11855</v>
      </c>
      <c r="AE461" s="228"/>
      <c r="AF461" s="240">
        <v>1655</v>
      </c>
    </row>
    <row r="462" spans="1:32" s="203" customFormat="1">
      <c r="A462" s="275" t="s">
        <v>137</v>
      </c>
      <c r="B462" s="284" t="s">
        <v>576</v>
      </c>
      <c r="C462" s="275">
        <v>220862</v>
      </c>
      <c r="D462" s="369">
        <v>2</v>
      </c>
      <c r="E462" s="225">
        <f t="shared" si="30"/>
        <v>0</v>
      </c>
      <c r="F462" s="229">
        <f t="shared" si="31"/>
        <v>400979</v>
      </c>
      <c r="G462" s="387"/>
      <c r="H462" s="201">
        <v>350268</v>
      </c>
      <c r="I462" s="226"/>
      <c r="J462" s="201">
        <v>10227</v>
      </c>
      <c r="K462" s="228"/>
      <c r="L462" s="228"/>
      <c r="M462" s="228"/>
      <c r="N462" s="202">
        <v>25522</v>
      </c>
      <c r="O462" s="202">
        <v>1690</v>
      </c>
      <c r="P462" s="202">
        <v>10440</v>
      </c>
      <c r="Q462" s="228"/>
      <c r="R462" s="201">
        <v>2832</v>
      </c>
      <c r="S462" s="225">
        <f t="shared" si="32"/>
        <v>0</v>
      </c>
      <c r="T462" s="229">
        <f t="shared" si="33"/>
        <v>76532</v>
      </c>
      <c r="U462" s="226"/>
      <c r="V462" s="201">
        <v>55822</v>
      </c>
      <c r="W462" s="226"/>
      <c r="X462" s="201">
        <v>5015</v>
      </c>
      <c r="Y462" s="228"/>
      <c r="Z462" s="228"/>
      <c r="AA462" s="228"/>
      <c r="AB462" s="202">
        <v>6513</v>
      </c>
      <c r="AC462" s="202">
        <v>51</v>
      </c>
      <c r="AD462" s="202">
        <v>1662</v>
      </c>
      <c r="AE462" s="228"/>
      <c r="AF462" s="240">
        <v>7469</v>
      </c>
    </row>
    <row r="463" spans="1:32" s="203" customFormat="1">
      <c r="A463" s="275" t="s">
        <v>137</v>
      </c>
      <c r="B463" s="284" t="s">
        <v>577</v>
      </c>
      <c r="C463" s="275">
        <v>220075</v>
      </c>
      <c r="D463" s="367">
        <v>3</v>
      </c>
      <c r="E463" s="225">
        <f t="shared" si="30"/>
        <v>0</v>
      </c>
      <c r="F463" s="229">
        <f t="shared" si="31"/>
        <v>295350</v>
      </c>
      <c r="G463" s="387"/>
      <c r="H463" s="201">
        <v>229165</v>
      </c>
      <c r="I463" s="226"/>
      <c r="J463" s="201">
        <v>12257</v>
      </c>
      <c r="K463" s="228"/>
      <c r="L463" s="228"/>
      <c r="M463" s="228"/>
      <c r="N463" s="202">
        <v>29354</v>
      </c>
      <c r="O463" s="202">
        <v>7222</v>
      </c>
      <c r="P463" s="202">
        <v>15449</v>
      </c>
      <c r="Q463" s="228"/>
      <c r="R463" s="201">
        <v>1903</v>
      </c>
      <c r="S463" s="225">
        <f t="shared" si="32"/>
        <v>0</v>
      </c>
      <c r="T463" s="229">
        <f t="shared" si="33"/>
        <v>40064</v>
      </c>
      <c r="U463" s="226"/>
      <c r="V463" s="201">
        <v>23630</v>
      </c>
      <c r="W463" s="226"/>
      <c r="X463" s="201">
        <v>3966</v>
      </c>
      <c r="Y463" s="228"/>
      <c r="Z463" s="228"/>
      <c r="AA463" s="228"/>
      <c r="AB463" s="202">
        <v>8135</v>
      </c>
      <c r="AC463" s="202">
        <v>102</v>
      </c>
      <c r="AD463" s="202">
        <v>1622</v>
      </c>
      <c r="AE463" s="228"/>
      <c r="AF463" s="240">
        <v>2609</v>
      </c>
    </row>
    <row r="464" spans="1:32" s="203" customFormat="1">
      <c r="A464" s="275" t="s">
        <v>137</v>
      </c>
      <c r="B464" s="284" t="s">
        <v>578</v>
      </c>
      <c r="C464" s="275">
        <v>220978</v>
      </c>
      <c r="D464" s="367">
        <v>3</v>
      </c>
      <c r="E464" s="225">
        <f t="shared" si="30"/>
        <v>0</v>
      </c>
      <c r="F464" s="229">
        <f t="shared" si="31"/>
        <v>572170</v>
      </c>
      <c r="G464" s="387"/>
      <c r="H464" s="201">
        <v>498587</v>
      </c>
      <c r="I464" s="226"/>
      <c r="J464" s="201">
        <v>9321</v>
      </c>
      <c r="K464" s="228"/>
      <c r="L464" s="228"/>
      <c r="M464" s="228"/>
      <c r="N464" s="202">
        <v>29075</v>
      </c>
      <c r="O464" s="202">
        <v>7248</v>
      </c>
      <c r="P464" s="202">
        <v>24005</v>
      </c>
      <c r="Q464" s="228"/>
      <c r="R464" s="201">
        <v>3934</v>
      </c>
      <c r="S464" s="225">
        <f t="shared" si="32"/>
        <v>0</v>
      </c>
      <c r="T464" s="229">
        <f t="shared" si="33"/>
        <v>38342</v>
      </c>
      <c r="U464" s="226"/>
      <c r="V464" s="201">
        <v>27038</v>
      </c>
      <c r="W464" s="226"/>
      <c r="X464" s="201">
        <v>2583</v>
      </c>
      <c r="Y464" s="228"/>
      <c r="Z464" s="228"/>
      <c r="AA464" s="228"/>
      <c r="AB464" s="202">
        <v>5425</v>
      </c>
      <c r="AC464" s="202">
        <v>379</v>
      </c>
      <c r="AD464" s="202">
        <v>664</v>
      </c>
      <c r="AE464" s="228"/>
      <c r="AF464" s="240">
        <v>2253</v>
      </c>
    </row>
    <row r="465" spans="1:32" s="203" customFormat="1">
      <c r="A465" s="275" t="s">
        <v>137</v>
      </c>
      <c r="B465" s="284" t="s">
        <v>579</v>
      </c>
      <c r="C465" s="275">
        <v>221838</v>
      </c>
      <c r="D465" s="367">
        <v>3</v>
      </c>
      <c r="E465" s="225">
        <f t="shared" si="30"/>
        <v>0</v>
      </c>
      <c r="F465" s="229">
        <f t="shared" si="31"/>
        <v>182196</v>
      </c>
      <c r="G465" s="387"/>
      <c r="H465" s="201">
        <v>172656</v>
      </c>
      <c r="I465" s="226"/>
      <c r="J465" s="201">
        <v>2498</v>
      </c>
      <c r="K465" s="228"/>
      <c r="L465" s="228"/>
      <c r="M465" s="228"/>
      <c r="N465" s="202">
        <v>6153</v>
      </c>
      <c r="O465" s="202">
        <v>0</v>
      </c>
      <c r="P465" s="202">
        <v>560</v>
      </c>
      <c r="Q465" s="228"/>
      <c r="R465" s="201">
        <v>329</v>
      </c>
      <c r="S465" s="225">
        <f t="shared" si="32"/>
        <v>0</v>
      </c>
      <c r="T465" s="229">
        <f t="shared" si="33"/>
        <v>31439</v>
      </c>
      <c r="U465" s="226"/>
      <c r="V465" s="201">
        <v>25449</v>
      </c>
      <c r="W465" s="226"/>
      <c r="X465" s="201">
        <v>1354</v>
      </c>
      <c r="Y465" s="228"/>
      <c r="Z465" s="228"/>
      <c r="AA465" s="228"/>
      <c r="AB465" s="202">
        <v>1494</v>
      </c>
      <c r="AC465" s="202">
        <v>0</v>
      </c>
      <c r="AD465" s="202">
        <v>140</v>
      </c>
      <c r="AE465" s="228"/>
      <c r="AF465" s="240">
        <v>3002</v>
      </c>
    </row>
    <row r="466" spans="1:32" s="203" customFormat="1">
      <c r="A466" s="275" t="s">
        <v>137</v>
      </c>
      <c r="B466" s="284" t="s">
        <v>580</v>
      </c>
      <c r="C466" s="275">
        <v>221740</v>
      </c>
      <c r="D466" s="367">
        <v>3</v>
      </c>
      <c r="E466" s="225">
        <f t="shared" si="30"/>
        <v>0</v>
      </c>
      <c r="F466" s="229">
        <f t="shared" si="31"/>
        <v>226572</v>
      </c>
      <c r="G466" s="387"/>
      <c r="H466" s="201">
        <v>216653</v>
      </c>
      <c r="I466" s="226"/>
      <c r="J466" s="201">
        <v>5105</v>
      </c>
      <c r="K466" s="228"/>
      <c r="L466" s="228"/>
      <c r="M466" s="228"/>
      <c r="N466" s="202">
        <v>3120</v>
      </c>
      <c r="O466" s="202">
        <v>0</v>
      </c>
      <c r="P466" s="202">
        <v>154</v>
      </c>
      <c r="Q466" s="228"/>
      <c r="R466" s="201">
        <v>1540</v>
      </c>
      <c r="S466" s="225">
        <f t="shared" si="32"/>
        <v>0</v>
      </c>
      <c r="T466" s="229">
        <f t="shared" si="33"/>
        <v>25865</v>
      </c>
      <c r="U466" s="226"/>
      <c r="V466" s="201">
        <v>18882</v>
      </c>
      <c r="W466" s="226"/>
      <c r="X466" s="201">
        <v>2765</v>
      </c>
      <c r="Y466" s="228"/>
      <c r="Z466" s="228"/>
      <c r="AA466" s="228"/>
      <c r="AB466" s="202">
        <v>2317</v>
      </c>
      <c r="AC466" s="202">
        <v>318</v>
      </c>
      <c r="AD466" s="202">
        <v>0</v>
      </c>
      <c r="AE466" s="228"/>
      <c r="AF466" s="240">
        <v>1583</v>
      </c>
    </row>
    <row r="467" spans="1:32" s="203" customFormat="1">
      <c r="A467" s="275" t="s">
        <v>137</v>
      </c>
      <c r="B467" s="284" t="s">
        <v>581</v>
      </c>
      <c r="C467" s="275">
        <v>219602</v>
      </c>
      <c r="D467" s="367">
        <v>4</v>
      </c>
      <c r="E467" s="225">
        <f t="shared" si="30"/>
        <v>0</v>
      </c>
      <c r="F467" s="229">
        <f t="shared" si="31"/>
        <v>217042</v>
      </c>
      <c r="G467" s="387"/>
      <c r="H467" s="201">
        <v>159057</v>
      </c>
      <c r="I467" s="226"/>
      <c r="J467" s="201">
        <v>21</v>
      </c>
      <c r="K467" s="228"/>
      <c r="L467" s="228"/>
      <c r="M467" s="228"/>
      <c r="N467" s="202">
        <v>55703</v>
      </c>
      <c r="O467" s="202">
        <v>39</v>
      </c>
      <c r="P467" s="202">
        <v>1072</v>
      </c>
      <c r="Q467" s="228"/>
      <c r="R467" s="201">
        <v>1150</v>
      </c>
      <c r="S467" s="225">
        <f t="shared" si="32"/>
        <v>0</v>
      </c>
      <c r="T467" s="229">
        <f t="shared" si="33"/>
        <v>13409</v>
      </c>
      <c r="U467" s="226"/>
      <c r="V467" s="201">
        <v>6314</v>
      </c>
      <c r="W467" s="226"/>
      <c r="X467" s="201">
        <v>55</v>
      </c>
      <c r="Y467" s="228"/>
      <c r="Z467" s="228"/>
      <c r="AA467" s="228"/>
      <c r="AB467" s="202">
        <v>6932</v>
      </c>
      <c r="AC467" s="202">
        <v>0</v>
      </c>
      <c r="AD467" s="202">
        <v>0</v>
      </c>
      <c r="AE467" s="228"/>
      <c r="AF467" s="240">
        <v>108</v>
      </c>
    </row>
    <row r="468" spans="1:32" s="203" customFormat="1">
      <c r="A468" s="275" t="s">
        <v>137</v>
      </c>
      <c r="B468" s="284" t="s">
        <v>582</v>
      </c>
      <c r="C468" s="275">
        <v>221847</v>
      </c>
      <c r="D468" s="367">
        <v>4</v>
      </c>
      <c r="E468" s="225">
        <f t="shared" si="30"/>
        <v>0</v>
      </c>
      <c r="F468" s="229">
        <f t="shared" si="31"/>
        <v>224064</v>
      </c>
      <c r="G468" s="387"/>
      <c r="H468" s="201">
        <v>189638</v>
      </c>
      <c r="I468" s="226"/>
      <c r="J468" s="201">
        <v>5895</v>
      </c>
      <c r="K468" s="228"/>
      <c r="L468" s="228"/>
      <c r="M468" s="228"/>
      <c r="N468" s="202">
        <v>15305</v>
      </c>
      <c r="O468" s="202">
        <v>0</v>
      </c>
      <c r="P468" s="202">
        <v>10331</v>
      </c>
      <c r="Q468" s="228"/>
      <c r="R468" s="201">
        <v>2895</v>
      </c>
      <c r="S468" s="225">
        <f t="shared" si="32"/>
        <v>0</v>
      </c>
      <c r="T468" s="229">
        <f t="shared" si="33"/>
        <v>31173</v>
      </c>
      <c r="U468" s="226"/>
      <c r="V468" s="201">
        <v>15646</v>
      </c>
      <c r="W468" s="226"/>
      <c r="X468" s="201">
        <v>3966</v>
      </c>
      <c r="Y468" s="228"/>
      <c r="Z468" s="228"/>
      <c r="AA468" s="228"/>
      <c r="AB468" s="202">
        <v>8135</v>
      </c>
      <c r="AC468" s="202">
        <v>102</v>
      </c>
      <c r="AD468" s="202">
        <v>1622</v>
      </c>
      <c r="AE468" s="228"/>
      <c r="AF468" s="240">
        <v>1702</v>
      </c>
    </row>
    <row r="469" spans="1:32" s="203" customFormat="1">
      <c r="A469" s="275" t="s">
        <v>137</v>
      </c>
      <c r="B469" s="284" t="s">
        <v>583</v>
      </c>
      <c r="C469" s="275">
        <v>221768</v>
      </c>
      <c r="D469" s="367">
        <v>5</v>
      </c>
      <c r="E469" s="225">
        <f t="shared" si="30"/>
        <v>0</v>
      </c>
      <c r="F469" s="229">
        <f t="shared" si="31"/>
        <v>184664</v>
      </c>
      <c r="G469" s="387"/>
      <c r="H469" s="201">
        <v>174088</v>
      </c>
      <c r="I469" s="226"/>
      <c r="J469" s="201">
        <v>2632</v>
      </c>
      <c r="K469" s="228"/>
      <c r="L469" s="228"/>
      <c r="M469" s="228"/>
      <c r="N469" s="202">
        <v>6556</v>
      </c>
      <c r="O469" s="202">
        <v>1143</v>
      </c>
      <c r="P469" s="202">
        <v>48</v>
      </c>
      <c r="Q469" s="228"/>
      <c r="R469" s="201">
        <v>197</v>
      </c>
      <c r="S469" s="225">
        <f t="shared" si="32"/>
        <v>0</v>
      </c>
      <c r="T469" s="229">
        <f t="shared" si="33"/>
        <v>6274</v>
      </c>
      <c r="U469" s="226"/>
      <c r="V469" s="201">
        <v>2198</v>
      </c>
      <c r="W469" s="226"/>
      <c r="X469" s="201">
        <v>180</v>
      </c>
      <c r="Y469" s="228"/>
      <c r="Z469" s="228"/>
      <c r="AA469" s="228"/>
      <c r="AB469" s="202">
        <v>3337</v>
      </c>
      <c r="AC469" s="202">
        <v>559</v>
      </c>
      <c r="AD469" s="202">
        <v>0</v>
      </c>
      <c r="AE469" s="228"/>
      <c r="AF469" s="240">
        <v>0</v>
      </c>
    </row>
    <row r="470" spans="1:32" s="203" customFormat="1">
      <c r="A470" s="275" t="s">
        <v>137</v>
      </c>
      <c r="B470" s="284" t="s">
        <v>584</v>
      </c>
      <c r="C470" s="275">
        <v>219824</v>
      </c>
      <c r="D470" s="367">
        <v>8</v>
      </c>
      <c r="E470" s="225">
        <f t="shared" si="30"/>
        <v>0</v>
      </c>
      <c r="F470" s="229">
        <f t="shared" si="31"/>
        <v>160490</v>
      </c>
      <c r="G470" s="387"/>
      <c r="H470" s="201">
        <v>126914</v>
      </c>
      <c r="I470" s="226"/>
      <c r="J470" s="201">
        <v>1848</v>
      </c>
      <c r="K470" s="228"/>
      <c r="L470" s="228"/>
      <c r="M470" s="228"/>
      <c r="N470" s="202">
        <v>23775</v>
      </c>
      <c r="O470" s="202">
        <v>0</v>
      </c>
      <c r="P470" s="202">
        <v>7562</v>
      </c>
      <c r="Q470" s="228"/>
      <c r="R470" s="201">
        <v>391</v>
      </c>
      <c r="S470" s="225">
        <f t="shared" si="32"/>
        <v>0</v>
      </c>
      <c r="T470" s="229">
        <f t="shared" si="33"/>
        <v>0</v>
      </c>
      <c r="U470" s="226"/>
      <c r="V470" s="201"/>
      <c r="W470" s="226"/>
      <c r="X470" s="201"/>
      <c r="Y470" s="228"/>
      <c r="Z470" s="228"/>
      <c r="AA470" s="228"/>
      <c r="AB470" s="202"/>
      <c r="AC470" s="202"/>
      <c r="AD470" s="202"/>
      <c r="AE470" s="228"/>
      <c r="AF470" s="240"/>
    </row>
    <row r="471" spans="1:32" s="203" customFormat="1">
      <c r="A471" s="275" t="s">
        <v>137</v>
      </c>
      <c r="B471" s="284" t="s">
        <v>585</v>
      </c>
      <c r="C471" s="275">
        <v>221643</v>
      </c>
      <c r="D471" s="367">
        <v>8</v>
      </c>
      <c r="E471" s="225">
        <f t="shared" si="30"/>
        <v>0</v>
      </c>
      <c r="F471" s="229">
        <f t="shared" si="31"/>
        <v>182675</v>
      </c>
      <c r="G471" s="387"/>
      <c r="H471" s="201">
        <v>154692</v>
      </c>
      <c r="I471" s="226"/>
      <c r="J471" s="201">
        <v>181</v>
      </c>
      <c r="K471" s="228"/>
      <c r="L471" s="228"/>
      <c r="M471" s="228"/>
      <c r="N471" s="202">
        <v>24025</v>
      </c>
      <c r="O471" s="202">
        <v>1305</v>
      </c>
      <c r="P471" s="202">
        <v>2355</v>
      </c>
      <c r="Q471" s="228"/>
      <c r="R471" s="201">
        <v>117</v>
      </c>
      <c r="S471" s="225">
        <f t="shared" si="32"/>
        <v>0</v>
      </c>
      <c r="T471" s="229">
        <f t="shared" si="33"/>
        <v>0</v>
      </c>
      <c r="U471" s="226"/>
      <c r="V471" s="201"/>
      <c r="W471" s="226"/>
      <c r="X471" s="201"/>
      <c r="Y471" s="228"/>
      <c r="Z471" s="228"/>
      <c r="AA471" s="228"/>
      <c r="AB471" s="202"/>
      <c r="AC471" s="202"/>
      <c r="AD471" s="202"/>
      <c r="AE471" s="228"/>
      <c r="AF471" s="240"/>
    </row>
    <row r="472" spans="1:32" s="203" customFormat="1">
      <c r="A472" s="275" t="s">
        <v>137</v>
      </c>
      <c r="B472" s="284" t="s">
        <v>586</v>
      </c>
      <c r="C472" s="275">
        <v>221485</v>
      </c>
      <c r="D472" s="367">
        <v>8</v>
      </c>
      <c r="E472" s="225">
        <f t="shared" si="30"/>
        <v>0</v>
      </c>
      <c r="F472" s="229">
        <f t="shared" si="31"/>
        <v>234454</v>
      </c>
      <c r="G472" s="387"/>
      <c r="H472" s="201">
        <v>207313</v>
      </c>
      <c r="I472" s="226"/>
      <c r="J472" s="201">
        <v>3133</v>
      </c>
      <c r="K472" s="228"/>
      <c r="L472" s="228"/>
      <c r="M472" s="228"/>
      <c r="N472" s="202">
        <v>17860</v>
      </c>
      <c r="O472" s="202">
        <v>4125</v>
      </c>
      <c r="P472" s="202">
        <v>1907</v>
      </c>
      <c r="Q472" s="228"/>
      <c r="R472" s="201">
        <v>116</v>
      </c>
      <c r="S472" s="225">
        <f t="shared" si="32"/>
        <v>0</v>
      </c>
      <c r="T472" s="229">
        <f t="shared" si="33"/>
        <v>0</v>
      </c>
      <c r="U472" s="226"/>
      <c r="V472" s="201"/>
      <c r="W472" s="226"/>
      <c r="X472" s="201"/>
      <c r="Y472" s="228"/>
      <c r="Z472" s="228"/>
      <c r="AA472" s="228"/>
      <c r="AB472" s="202"/>
      <c r="AC472" s="202"/>
      <c r="AD472" s="202"/>
      <c r="AE472" s="228"/>
      <c r="AF472" s="240"/>
    </row>
    <row r="473" spans="1:32" s="203" customFormat="1">
      <c r="A473" s="275" t="s">
        <v>137</v>
      </c>
      <c r="B473" s="284" t="s">
        <v>587</v>
      </c>
      <c r="C473" s="275">
        <v>219879</v>
      </c>
      <c r="D473" s="403">
        <v>9</v>
      </c>
      <c r="E473" s="225">
        <f t="shared" si="30"/>
        <v>0</v>
      </c>
      <c r="F473" s="229">
        <f t="shared" si="31"/>
        <v>66225</v>
      </c>
      <c r="G473" s="387"/>
      <c r="H473" s="201">
        <v>51277</v>
      </c>
      <c r="I473" s="226"/>
      <c r="J473" s="201">
        <v>462</v>
      </c>
      <c r="K473" s="228"/>
      <c r="L473" s="228"/>
      <c r="M473" s="228"/>
      <c r="N473" s="202">
        <v>7007</v>
      </c>
      <c r="O473" s="202">
        <v>2001</v>
      </c>
      <c r="P473" s="202">
        <v>3060</v>
      </c>
      <c r="Q473" s="228"/>
      <c r="R473" s="201">
        <v>2418</v>
      </c>
      <c r="S473" s="225">
        <f t="shared" si="32"/>
        <v>0</v>
      </c>
      <c r="T473" s="229">
        <f t="shared" si="33"/>
        <v>0</v>
      </c>
      <c r="U473" s="226"/>
      <c r="V473" s="201"/>
      <c r="W473" s="226"/>
      <c r="X473" s="201"/>
      <c r="Y473" s="228"/>
      <c r="Z473" s="228"/>
      <c r="AA473" s="228"/>
      <c r="AB473" s="202"/>
      <c r="AC473" s="202"/>
      <c r="AD473" s="202"/>
      <c r="AE473" s="228"/>
      <c r="AF473" s="240"/>
    </row>
    <row r="474" spans="1:32" s="203" customFormat="1">
      <c r="A474" s="275" t="s">
        <v>137</v>
      </c>
      <c r="B474" s="284" t="s">
        <v>588</v>
      </c>
      <c r="C474" s="275">
        <v>219888</v>
      </c>
      <c r="D474" s="403">
        <v>9</v>
      </c>
      <c r="E474" s="225">
        <f t="shared" si="30"/>
        <v>0</v>
      </c>
      <c r="F474" s="229">
        <f t="shared" si="31"/>
        <v>95795</v>
      </c>
      <c r="G474" s="387"/>
      <c r="H474" s="201">
        <v>70516</v>
      </c>
      <c r="I474" s="226"/>
      <c r="J474" s="201">
        <v>2905</v>
      </c>
      <c r="K474" s="228"/>
      <c r="L474" s="228"/>
      <c r="M474" s="228"/>
      <c r="N474" s="202">
        <v>10543</v>
      </c>
      <c r="O474" s="202">
        <v>5955</v>
      </c>
      <c r="P474" s="202">
        <v>5751</v>
      </c>
      <c r="Q474" s="228"/>
      <c r="R474" s="201">
        <v>125</v>
      </c>
      <c r="S474" s="225">
        <f t="shared" si="32"/>
        <v>0</v>
      </c>
      <c r="T474" s="229">
        <f t="shared" si="33"/>
        <v>0</v>
      </c>
      <c r="U474" s="226"/>
      <c r="V474" s="201"/>
      <c r="W474" s="226"/>
      <c r="X474" s="201"/>
      <c r="Y474" s="228"/>
      <c r="Z474" s="228"/>
      <c r="AA474" s="228"/>
      <c r="AB474" s="202"/>
      <c r="AC474" s="202"/>
      <c r="AD474" s="202"/>
      <c r="AE474" s="228"/>
      <c r="AF474" s="240"/>
    </row>
    <row r="475" spans="1:32" s="203" customFormat="1">
      <c r="A475" s="275" t="s">
        <v>137</v>
      </c>
      <c r="B475" s="284" t="s">
        <v>589</v>
      </c>
      <c r="C475" s="275">
        <v>220400</v>
      </c>
      <c r="D475" s="403">
        <v>9</v>
      </c>
      <c r="E475" s="225">
        <f t="shared" si="30"/>
        <v>0</v>
      </c>
      <c r="F475" s="229">
        <f t="shared" si="31"/>
        <v>92273</v>
      </c>
      <c r="G475" s="387"/>
      <c r="H475" s="201">
        <v>67603</v>
      </c>
      <c r="I475" s="226"/>
      <c r="J475" s="201">
        <v>4286</v>
      </c>
      <c r="K475" s="228"/>
      <c r="L475" s="228"/>
      <c r="M475" s="228"/>
      <c r="N475" s="202">
        <v>11356</v>
      </c>
      <c r="O475" s="202">
        <v>821</v>
      </c>
      <c r="P475" s="202">
        <v>8191</v>
      </c>
      <c r="Q475" s="228"/>
      <c r="R475" s="201">
        <v>16</v>
      </c>
      <c r="S475" s="225">
        <f t="shared" si="32"/>
        <v>0</v>
      </c>
      <c r="T475" s="229">
        <f t="shared" si="33"/>
        <v>0</v>
      </c>
      <c r="U475" s="226"/>
      <c r="V475" s="201"/>
      <c r="W475" s="226"/>
      <c r="X475" s="201"/>
      <c r="Y475" s="228"/>
      <c r="Z475" s="228"/>
      <c r="AA475" s="228"/>
      <c r="AB475" s="202"/>
      <c r="AC475" s="202"/>
      <c r="AD475" s="202"/>
      <c r="AE475" s="228"/>
      <c r="AF475" s="240"/>
    </row>
    <row r="476" spans="1:32" s="203" customFormat="1">
      <c r="A476" s="275" t="s">
        <v>137</v>
      </c>
      <c r="B476" s="284" t="s">
        <v>590</v>
      </c>
      <c r="C476" s="275">
        <v>221096</v>
      </c>
      <c r="D476" s="367">
        <v>9</v>
      </c>
      <c r="E476" s="225">
        <f t="shared" si="30"/>
        <v>0</v>
      </c>
      <c r="F476" s="229">
        <f t="shared" si="31"/>
        <v>89277</v>
      </c>
      <c r="G476" s="387"/>
      <c r="H476" s="201">
        <v>72739</v>
      </c>
      <c r="I476" s="226"/>
      <c r="J476" s="201">
        <v>120</v>
      </c>
      <c r="K476" s="228"/>
      <c r="L476" s="228"/>
      <c r="M476" s="228"/>
      <c r="N476" s="202">
        <v>11955</v>
      </c>
      <c r="O476" s="202">
        <v>4165</v>
      </c>
      <c r="P476" s="202">
        <v>146</v>
      </c>
      <c r="Q476" s="228"/>
      <c r="R476" s="201">
        <v>152</v>
      </c>
      <c r="S476" s="225">
        <f t="shared" si="32"/>
        <v>0</v>
      </c>
      <c r="T476" s="229">
        <f t="shared" si="33"/>
        <v>0</v>
      </c>
      <c r="U476" s="226"/>
      <c r="V476" s="201"/>
      <c r="W476" s="226"/>
      <c r="X476" s="201"/>
      <c r="Y476" s="228"/>
      <c r="Z476" s="228"/>
      <c r="AA476" s="228"/>
      <c r="AB476" s="202"/>
      <c r="AC476" s="202"/>
      <c r="AD476" s="202"/>
      <c r="AE476" s="228"/>
      <c r="AF476" s="240"/>
    </row>
    <row r="477" spans="1:32" s="203" customFormat="1">
      <c r="A477" s="275" t="s">
        <v>137</v>
      </c>
      <c r="B477" s="284" t="s">
        <v>591</v>
      </c>
      <c r="C477" s="275">
        <v>221184</v>
      </c>
      <c r="D477" s="367">
        <v>9</v>
      </c>
      <c r="E477" s="225">
        <f t="shared" si="30"/>
        <v>0</v>
      </c>
      <c r="F477" s="229">
        <f t="shared" si="31"/>
        <v>139748</v>
      </c>
      <c r="G477" s="387"/>
      <c r="H477" s="201">
        <v>111499</v>
      </c>
      <c r="I477" s="226"/>
      <c r="J477" s="201">
        <v>467</v>
      </c>
      <c r="K477" s="228"/>
      <c r="L477" s="228"/>
      <c r="M477" s="228"/>
      <c r="N477" s="202">
        <v>26050</v>
      </c>
      <c r="O477" s="202">
        <v>0</v>
      </c>
      <c r="P477" s="202">
        <v>1703</v>
      </c>
      <c r="Q477" s="228"/>
      <c r="R477" s="201">
        <v>29</v>
      </c>
      <c r="S477" s="225">
        <f t="shared" si="32"/>
        <v>0</v>
      </c>
      <c r="T477" s="229">
        <f t="shared" si="33"/>
        <v>0</v>
      </c>
      <c r="U477" s="226"/>
      <c r="V477" s="201"/>
      <c r="W477" s="226"/>
      <c r="X477" s="201"/>
      <c r="Y477" s="228"/>
      <c r="Z477" s="228"/>
      <c r="AA477" s="228"/>
      <c r="AB477" s="202"/>
      <c r="AC477" s="202"/>
      <c r="AD477" s="202"/>
      <c r="AE477" s="228"/>
      <c r="AF477" s="240"/>
    </row>
    <row r="478" spans="1:32" s="203" customFormat="1">
      <c r="A478" s="275" t="s">
        <v>137</v>
      </c>
      <c r="B478" s="284" t="s">
        <v>592</v>
      </c>
      <c r="C478" s="275">
        <v>221908</v>
      </c>
      <c r="D478" s="403">
        <v>9</v>
      </c>
      <c r="E478" s="225">
        <f t="shared" si="30"/>
        <v>0</v>
      </c>
      <c r="F478" s="229">
        <f t="shared" si="31"/>
        <v>111313</v>
      </c>
      <c r="G478" s="387"/>
      <c r="H478" s="201">
        <v>93237</v>
      </c>
      <c r="I478" s="226"/>
      <c r="J478" s="201">
        <v>423</v>
      </c>
      <c r="K478" s="228"/>
      <c r="L478" s="228"/>
      <c r="M478" s="228"/>
      <c r="N478" s="202">
        <v>6593</v>
      </c>
      <c r="O478" s="202">
        <v>2731</v>
      </c>
      <c r="P478" s="202">
        <v>8306</v>
      </c>
      <c r="Q478" s="228"/>
      <c r="R478" s="201">
        <v>23</v>
      </c>
      <c r="S478" s="225">
        <f t="shared" si="32"/>
        <v>0</v>
      </c>
      <c r="T478" s="229">
        <f t="shared" si="33"/>
        <v>0</v>
      </c>
      <c r="U478" s="226"/>
      <c r="V478" s="201"/>
      <c r="W478" s="226"/>
      <c r="X478" s="201"/>
      <c r="Y478" s="228"/>
      <c r="Z478" s="228"/>
      <c r="AA478" s="228"/>
      <c r="AB478" s="202"/>
      <c r="AC478" s="202"/>
      <c r="AD478" s="202"/>
      <c r="AE478" s="228"/>
      <c r="AF478" s="240"/>
    </row>
    <row r="479" spans="1:32" s="203" customFormat="1">
      <c r="A479" s="275" t="s">
        <v>137</v>
      </c>
      <c r="B479" s="284" t="s">
        <v>593</v>
      </c>
      <c r="C479" s="275">
        <v>221397</v>
      </c>
      <c r="D479" s="403">
        <v>9</v>
      </c>
      <c r="E479" s="225">
        <f t="shared" si="30"/>
        <v>0</v>
      </c>
      <c r="F479" s="229">
        <f t="shared" si="31"/>
        <v>113875</v>
      </c>
      <c r="G479" s="387"/>
      <c r="H479" s="201">
        <v>87729</v>
      </c>
      <c r="I479" s="226"/>
      <c r="J479" s="201">
        <v>1518</v>
      </c>
      <c r="K479" s="228"/>
      <c r="L479" s="228"/>
      <c r="M479" s="228"/>
      <c r="N479" s="202">
        <v>16851</v>
      </c>
      <c r="O479" s="202">
        <v>6173</v>
      </c>
      <c r="P479" s="202">
        <v>1530</v>
      </c>
      <c r="Q479" s="228"/>
      <c r="R479" s="201">
        <v>74</v>
      </c>
      <c r="S479" s="225">
        <f t="shared" si="32"/>
        <v>0</v>
      </c>
      <c r="T479" s="229">
        <f t="shared" si="33"/>
        <v>0</v>
      </c>
      <c r="U479" s="226"/>
      <c r="V479" s="201"/>
      <c r="W479" s="226"/>
      <c r="X479" s="201"/>
      <c r="Y479" s="228"/>
      <c r="Z479" s="228"/>
      <c r="AA479" s="228"/>
      <c r="AB479" s="202"/>
      <c r="AC479" s="202"/>
      <c r="AD479" s="202"/>
      <c r="AE479" s="228"/>
      <c r="AF479" s="240"/>
    </row>
    <row r="480" spans="1:32" s="203" customFormat="1">
      <c r="A480" s="275" t="s">
        <v>137</v>
      </c>
      <c r="B480" s="284" t="s">
        <v>594</v>
      </c>
      <c r="C480" s="275">
        <v>222053</v>
      </c>
      <c r="D480" s="403">
        <v>9</v>
      </c>
      <c r="E480" s="225">
        <f t="shared" si="30"/>
        <v>0</v>
      </c>
      <c r="F480" s="229">
        <f t="shared" si="31"/>
        <v>143504</v>
      </c>
      <c r="G480" s="387"/>
      <c r="H480" s="201">
        <v>106135</v>
      </c>
      <c r="I480" s="226"/>
      <c r="J480" s="201">
        <v>3764</v>
      </c>
      <c r="K480" s="228"/>
      <c r="L480" s="228"/>
      <c r="M480" s="228"/>
      <c r="N480" s="202">
        <v>23153</v>
      </c>
      <c r="O480" s="202">
        <v>679</v>
      </c>
      <c r="P480" s="202">
        <v>9537</v>
      </c>
      <c r="Q480" s="228"/>
      <c r="R480" s="201">
        <v>236</v>
      </c>
      <c r="S480" s="225">
        <f t="shared" si="32"/>
        <v>0</v>
      </c>
      <c r="T480" s="229">
        <f t="shared" si="33"/>
        <v>0</v>
      </c>
      <c r="U480" s="226"/>
      <c r="V480" s="201"/>
      <c r="W480" s="226"/>
      <c r="X480" s="201"/>
      <c r="Y480" s="228"/>
      <c r="Z480" s="228"/>
      <c r="AA480" s="228"/>
      <c r="AB480" s="202"/>
      <c r="AC480" s="202"/>
      <c r="AD480" s="202"/>
      <c r="AE480" s="228"/>
      <c r="AF480" s="240"/>
    </row>
    <row r="481" spans="1:32" s="203" customFormat="1">
      <c r="A481" s="275" t="s">
        <v>137</v>
      </c>
      <c r="B481" s="284" t="s">
        <v>595</v>
      </c>
      <c r="C481" s="275">
        <v>222062</v>
      </c>
      <c r="D481" s="403">
        <v>9</v>
      </c>
      <c r="E481" s="225">
        <f t="shared" si="30"/>
        <v>0</v>
      </c>
      <c r="F481" s="229">
        <f t="shared" si="31"/>
        <v>124785</v>
      </c>
      <c r="G481" s="387"/>
      <c r="H481" s="201">
        <v>95276</v>
      </c>
      <c r="I481" s="226"/>
      <c r="J481" s="201">
        <v>2081</v>
      </c>
      <c r="K481" s="228"/>
      <c r="L481" s="228"/>
      <c r="M481" s="228"/>
      <c r="N481" s="202">
        <v>13781</v>
      </c>
      <c r="O481" s="202">
        <v>5365</v>
      </c>
      <c r="P481" s="202">
        <v>8254</v>
      </c>
      <c r="Q481" s="228"/>
      <c r="R481" s="201">
        <v>28</v>
      </c>
      <c r="S481" s="225">
        <f t="shared" si="32"/>
        <v>0</v>
      </c>
      <c r="T481" s="229">
        <f t="shared" si="33"/>
        <v>0</v>
      </c>
      <c r="U481" s="226"/>
      <c r="V481" s="201"/>
      <c r="W481" s="226"/>
      <c r="X481" s="201"/>
      <c r="Y481" s="228"/>
      <c r="Z481" s="228"/>
      <c r="AA481" s="228"/>
      <c r="AB481" s="202"/>
      <c r="AC481" s="202"/>
      <c r="AD481" s="202"/>
      <c r="AE481" s="228"/>
      <c r="AF481" s="240"/>
    </row>
    <row r="482" spans="1:32" s="203" customFormat="1">
      <c r="A482" s="275" t="s">
        <v>137</v>
      </c>
      <c r="B482" s="284" t="s">
        <v>596</v>
      </c>
      <c r="C482" s="275">
        <v>220057</v>
      </c>
      <c r="D482" s="403">
        <v>10</v>
      </c>
      <c r="E482" s="225">
        <f t="shared" si="30"/>
        <v>0</v>
      </c>
      <c r="F482" s="229">
        <f t="shared" si="31"/>
        <v>51542</v>
      </c>
      <c r="G482" s="387"/>
      <c r="H482" s="201">
        <v>39935</v>
      </c>
      <c r="I482" s="226"/>
      <c r="J482" s="201">
        <v>54</v>
      </c>
      <c r="K482" s="228"/>
      <c r="L482" s="228"/>
      <c r="M482" s="228"/>
      <c r="N482" s="202">
        <v>7381</v>
      </c>
      <c r="O482" s="202">
        <v>222</v>
      </c>
      <c r="P482" s="202">
        <v>3686</v>
      </c>
      <c r="Q482" s="228"/>
      <c r="R482" s="201">
        <v>264</v>
      </c>
      <c r="S482" s="225">
        <f t="shared" si="32"/>
        <v>0</v>
      </c>
      <c r="T482" s="229">
        <f t="shared" si="33"/>
        <v>0</v>
      </c>
      <c r="U482" s="226"/>
      <c r="V482" s="201"/>
      <c r="W482" s="226"/>
      <c r="X482" s="201"/>
      <c r="Y482" s="228"/>
      <c r="Z482" s="228"/>
      <c r="AA482" s="228"/>
      <c r="AB482" s="202"/>
      <c r="AC482" s="202"/>
      <c r="AD482" s="202"/>
      <c r="AE482" s="228"/>
      <c r="AF482" s="240"/>
    </row>
    <row r="483" spans="1:32" s="203" customFormat="1">
      <c r="A483" s="275" t="s">
        <v>137</v>
      </c>
      <c r="B483" s="284" t="s">
        <v>597</v>
      </c>
      <c r="C483" s="275">
        <v>219596</v>
      </c>
      <c r="D483" s="403">
        <v>13</v>
      </c>
      <c r="E483" s="225">
        <f t="shared" si="30"/>
        <v>210660</v>
      </c>
      <c r="F483" s="229">
        <f t="shared" si="31"/>
        <v>254328</v>
      </c>
      <c r="G483" s="226">
        <v>210660</v>
      </c>
      <c r="H483" s="201">
        <v>254328</v>
      </c>
      <c r="I483" s="226"/>
      <c r="J483" s="201"/>
      <c r="K483" s="228"/>
      <c r="L483" s="228"/>
      <c r="M483" s="228"/>
      <c r="N483" s="202"/>
      <c r="O483" s="202"/>
      <c r="P483" s="202"/>
      <c r="Q483" s="228"/>
      <c r="R483" s="201"/>
      <c r="S483" s="225">
        <f t="shared" si="32"/>
        <v>0</v>
      </c>
      <c r="T483" s="229">
        <f t="shared" si="33"/>
        <v>0</v>
      </c>
      <c r="U483" s="226"/>
      <c r="V483" s="201"/>
      <c r="W483" s="226"/>
      <c r="X483" s="201"/>
      <c r="Y483" s="228"/>
      <c r="Z483" s="228"/>
      <c r="AA483" s="228"/>
      <c r="AB483" s="202"/>
      <c r="AC483" s="202"/>
      <c r="AD483" s="202"/>
      <c r="AE483" s="228"/>
      <c r="AF483" s="240"/>
    </row>
    <row r="484" spans="1:32" s="203" customFormat="1">
      <c r="A484" s="275" t="s">
        <v>137</v>
      </c>
      <c r="B484" s="284" t="s">
        <v>598</v>
      </c>
      <c r="C484" s="275" t="s">
        <v>599</v>
      </c>
      <c r="D484" s="403">
        <v>13</v>
      </c>
      <c r="E484" s="225">
        <f t="shared" si="30"/>
        <v>694445</v>
      </c>
      <c r="F484" s="229">
        <f t="shared" si="31"/>
        <v>796409</v>
      </c>
      <c r="G484" s="226">
        <v>694445</v>
      </c>
      <c r="H484" s="201">
        <v>796409</v>
      </c>
      <c r="I484" s="226"/>
      <c r="J484" s="201"/>
      <c r="K484" s="228"/>
      <c r="L484" s="228"/>
      <c r="M484" s="228"/>
      <c r="N484" s="202"/>
      <c r="O484" s="202"/>
      <c r="P484" s="202"/>
      <c r="Q484" s="228"/>
      <c r="R484" s="201"/>
      <c r="S484" s="225">
        <f t="shared" si="32"/>
        <v>0</v>
      </c>
      <c r="T484" s="229">
        <f t="shared" si="33"/>
        <v>0</v>
      </c>
      <c r="U484" s="226"/>
      <c r="V484" s="201"/>
      <c r="W484" s="226"/>
      <c r="X484" s="201"/>
      <c r="Y484" s="228"/>
      <c r="Z484" s="228"/>
      <c r="AA484" s="228"/>
      <c r="AB484" s="202"/>
      <c r="AC484" s="202"/>
      <c r="AD484" s="202"/>
      <c r="AE484" s="228"/>
      <c r="AF484" s="240"/>
    </row>
    <row r="485" spans="1:32" s="203" customFormat="1">
      <c r="A485" s="275" t="s">
        <v>137</v>
      </c>
      <c r="B485" s="284" t="s">
        <v>600</v>
      </c>
      <c r="C485" s="275">
        <v>219921</v>
      </c>
      <c r="D485" s="403">
        <v>13</v>
      </c>
      <c r="E485" s="225">
        <f t="shared" si="30"/>
        <v>127326</v>
      </c>
      <c r="F485" s="229">
        <f t="shared" si="31"/>
        <v>161279</v>
      </c>
      <c r="G485" s="226">
        <v>127326</v>
      </c>
      <c r="H485" s="201">
        <v>161279</v>
      </c>
      <c r="I485" s="226"/>
      <c r="J485" s="201"/>
      <c r="K485" s="228"/>
      <c r="L485" s="228"/>
      <c r="M485" s="228"/>
      <c r="N485" s="202"/>
      <c r="O485" s="202"/>
      <c r="P485" s="202"/>
      <c r="Q485" s="228"/>
      <c r="R485" s="201"/>
      <c r="S485" s="225">
        <f t="shared" si="32"/>
        <v>0</v>
      </c>
      <c r="T485" s="229">
        <f t="shared" si="33"/>
        <v>0</v>
      </c>
      <c r="U485" s="226"/>
      <c r="V485" s="201"/>
      <c r="W485" s="226"/>
      <c r="X485" s="201"/>
      <c r="Y485" s="228"/>
      <c r="Z485" s="228"/>
      <c r="AA485" s="228"/>
      <c r="AB485" s="202"/>
      <c r="AC485" s="202"/>
      <c r="AD485" s="202"/>
      <c r="AE485" s="228"/>
      <c r="AF485" s="240"/>
    </row>
    <row r="486" spans="1:32" s="203" customFormat="1">
      <c r="A486" s="275" t="s">
        <v>137</v>
      </c>
      <c r="B486" s="284" t="s">
        <v>601</v>
      </c>
      <c r="C486" s="275">
        <v>221591</v>
      </c>
      <c r="D486" s="403">
        <v>13</v>
      </c>
      <c r="E486" s="225">
        <f t="shared" si="30"/>
        <v>300519</v>
      </c>
      <c r="F486" s="229">
        <f t="shared" si="31"/>
        <v>334985</v>
      </c>
      <c r="G486" s="226">
        <v>300519</v>
      </c>
      <c r="H486" s="201">
        <v>334985</v>
      </c>
      <c r="I486" s="226"/>
      <c r="J486" s="201"/>
      <c r="K486" s="228"/>
      <c r="L486" s="228"/>
      <c r="M486" s="228"/>
      <c r="N486" s="202"/>
      <c r="O486" s="202"/>
      <c r="P486" s="202"/>
      <c r="Q486" s="228"/>
      <c r="R486" s="201"/>
      <c r="S486" s="225">
        <f t="shared" si="32"/>
        <v>0</v>
      </c>
      <c r="T486" s="229">
        <f t="shared" si="33"/>
        <v>0</v>
      </c>
      <c r="U486" s="226"/>
      <c r="V486" s="201"/>
      <c r="W486" s="226"/>
      <c r="X486" s="201"/>
      <c r="Y486" s="228"/>
      <c r="Z486" s="228"/>
      <c r="AA486" s="228"/>
      <c r="AB486" s="202"/>
      <c r="AC486" s="202"/>
      <c r="AD486" s="202"/>
      <c r="AE486" s="228"/>
      <c r="AF486" s="240"/>
    </row>
    <row r="487" spans="1:32" s="203" customFormat="1">
      <c r="A487" s="275" t="s">
        <v>137</v>
      </c>
      <c r="B487" s="284" t="s">
        <v>602</v>
      </c>
      <c r="C487" s="275">
        <v>221430</v>
      </c>
      <c r="D487" s="367">
        <v>13</v>
      </c>
      <c r="E487" s="225">
        <f t="shared" si="30"/>
        <v>227991</v>
      </c>
      <c r="F487" s="229">
        <f t="shared" si="31"/>
        <v>232332</v>
      </c>
      <c r="G487" s="226">
        <v>227991</v>
      </c>
      <c r="H487" s="201">
        <v>232332</v>
      </c>
      <c r="I487" s="226"/>
      <c r="J487" s="201"/>
      <c r="K487" s="228"/>
      <c r="L487" s="228"/>
      <c r="M487" s="228"/>
      <c r="N487" s="202"/>
      <c r="O487" s="202"/>
      <c r="P487" s="202"/>
      <c r="Q487" s="228"/>
      <c r="R487" s="201"/>
      <c r="S487" s="225">
        <f t="shared" si="32"/>
        <v>0</v>
      </c>
      <c r="T487" s="229">
        <f t="shared" si="33"/>
        <v>0</v>
      </c>
      <c r="U487" s="226"/>
      <c r="V487" s="201"/>
      <c r="W487" s="226"/>
      <c r="X487" s="201"/>
      <c r="Y487" s="228"/>
      <c r="Z487" s="228"/>
      <c r="AA487" s="228"/>
      <c r="AB487" s="202"/>
      <c r="AC487" s="202"/>
      <c r="AD487" s="202"/>
      <c r="AE487" s="228"/>
      <c r="AF487" s="240"/>
    </row>
    <row r="488" spans="1:32" s="203" customFormat="1">
      <c r="A488" s="275" t="s">
        <v>137</v>
      </c>
      <c r="B488" s="284" t="s">
        <v>603</v>
      </c>
      <c r="C488" s="275">
        <v>219994</v>
      </c>
      <c r="D488" s="403">
        <v>13</v>
      </c>
      <c r="E488" s="225">
        <f t="shared" si="30"/>
        <v>425190</v>
      </c>
      <c r="F488" s="229">
        <f t="shared" si="31"/>
        <v>455012</v>
      </c>
      <c r="G488" s="226">
        <v>425190</v>
      </c>
      <c r="H488" s="201">
        <v>455012</v>
      </c>
      <c r="I488" s="226"/>
      <c r="J488" s="201"/>
      <c r="K488" s="228"/>
      <c r="L488" s="228"/>
      <c r="M488" s="228"/>
      <c r="N488" s="202"/>
      <c r="O488" s="202"/>
      <c r="P488" s="202"/>
      <c r="Q488" s="228"/>
      <c r="R488" s="201"/>
      <c r="S488" s="225">
        <f t="shared" si="32"/>
        <v>0</v>
      </c>
      <c r="T488" s="229">
        <f t="shared" si="33"/>
        <v>0</v>
      </c>
      <c r="U488" s="226"/>
      <c r="V488" s="201"/>
      <c r="W488" s="226"/>
      <c r="X488" s="201"/>
      <c r="Y488" s="228"/>
      <c r="Z488" s="228"/>
      <c r="AA488" s="228"/>
      <c r="AB488" s="202"/>
      <c r="AC488" s="202"/>
      <c r="AD488" s="202"/>
      <c r="AE488" s="228"/>
      <c r="AF488" s="240"/>
    </row>
    <row r="489" spans="1:32" s="203" customFormat="1">
      <c r="A489" s="275" t="s">
        <v>137</v>
      </c>
      <c r="B489" s="284" t="s">
        <v>604</v>
      </c>
      <c r="C489" s="275">
        <v>220127</v>
      </c>
      <c r="D489" s="403">
        <v>13</v>
      </c>
      <c r="E489" s="225">
        <f t="shared" si="30"/>
        <v>437267</v>
      </c>
      <c r="F489" s="229">
        <f t="shared" si="31"/>
        <v>469991</v>
      </c>
      <c r="G489" s="226">
        <v>437267</v>
      </c>
      <c r="H489" s="201">
        <v>469991</v>
      </c>
      <c r="I489" s="226"/>
      <c r="J489" s="201"/>
      <c r="K489" s="228"/>
      <c r="L489" s="228"/>
      <c r="M489" s="228"/>
      <c r="N489" s="202"/>
      <c r="O489" s="202"/>
      <c r="P489" s="202"/>
      <c r="Q489" s="228"/>
      <c r="R489" s="201"/>
      <c r="S489" s="225">
        <f t="shared" si="32"/>
        <v>0</v>
      </c>
      <c r="T489" s="229">
        <f t="shared" si="33"/>
        <v>0</v>
      </c>
      <c r="U489" s="226"/>
      <c r="V489" s="201"/>
      <c r="W489" s="226"/>
      <c r="X489" s="201"/>
      <c r="Y489" s="228"/>
      <c r="Z489" s="228"/>
      <c r="AA489" s="228"/>
      <c r="AB489" s="202"/>
      <c r="AC489" s="202"/>
      <c r="AD489" s="202"/>
      <c r="AE489" s="228"/>
      <c r="AF489" s="240"/>
    </row>
    <row r="490" spans="1:32" s="203" customFormat="1">
      <c r="A490" s="275" t="s">
        <v>137</v>
      </c>
      <c r="B490" s="284" t="s">
        <v>605</v>
      </c>
      <c r="C490" s="275">
        <v>220251</v>
      </c>
      <c r="D490" s="403">
        <v>13</v>
      </c>
      <c r="E490" s="225">
        <f t="shared" si="30"/>
        <v>188332</v>
      </c>
      <c r="F490" s="229">
        <f t="shared" si="31"/>
        <v>224374</v>
      </c>
      <c r="G490" s="226">
        <v>188332</v>
      </c>
      <c r="H490" s="201">
        <v>224374</v>
      </c>
      <c r="I490" s="226"/>
      <c r="J490" s="201"/>
      <c r="K490" s="228"/>
      <c r="L490" s="228"/>
      <c r="M490" s="228"/>
      <c r="N490" s="202"/>
      <c r="O490" s="202"/>
      <c r="P490" s="202"/>
      <c r="Q490" s="228"/>
      <c r="R490" s="201"/>
      <c r="S490" s="225">
        <f t="shared" si="32"/>
        <v>0</v>
      </c>
      <c r="T490" s="229">
        <f t="shared" si="33"/>
        <v>0</v>
      </c>
      <c r="U490" s="226"/>
      <c r="V490" s="201"/>
      <c r="W490" s="226"/>
      <c r="X490" s="201"/>
      <c r="Y490" s="228"/>
      <c r="Z490" s="228"/>
      <c r="AA490" s="228"/>
      <c r="AB490" s="202"/>
      <c r="AC490" s="202"/>
      <c r="AD490" s="202"/>
      <c r="AE490" s="228"/>
      <c r="AF490" s="240"/>
    </row>
    <row r="491" spans="1:32" s="203" customFormat="1">
      <c r="A491" s="275" t="s">
        <v>137</v>
      </c>
      <c r="B491" s="284" t="s">
        <v>606</v>
      </c>
      <c r="C491" s="275">
        <v>220279</v>
      </c>
      <c r="D491" s="403">
        <v>13</v>
      </c>
      <c r="E491" s="225">
        <f t="shared" si="30"/>
        <v>205269</v>
      </c>
      <c r="F491" s="229">
        <f t="shared" si="31"/>
        <v>267815</v>
      </c>
      <c r="G491" s="226">
        <v>205269</v>
      </c>
      <c r="H491" s="201">
        <v>267815</v>
      </c>
      <c r="I491" s="226"/>
      <c r="J491" s="201"/>
      <c r="K491" s="228"/>
      <c r="L491" s="228"/>
      <c r="M491" s="228"/>
      <c r="N491" s="202"/>
      <c r="O491" s="202"/>
      <c r="P491" s="202"/>
      <c r="Q491" s="228"/>
      <c r="R491" s="201"/>
      <c r="S491" s="225">
        <f t="shared" si="32"/>
        <v>0</v>
      </c>
      <c r="T491" s="229">
        <f t="shared" si="33"/>
        <v>0</v>
      </c>
      <c r="U491" s="226"/>
      <c r="V491" s="201"/>
      <c r="W491" s="226"/>
      <c r="X491" s="201"/>
      <c r="Y491" s="228"/>
      <c r="Z491" s="228"/>
      <c r="AA491" s="228"/>
      <c r="AB491" s="202"/>
      <c r="AC491" s="202"/>
      <c r="AD491" s="202"/>
      <c r="AE491" s="228"/>
      <c r="AF491" s="240"/>
    </row>
    <row r="492" spans="1:32" s="203" customFormat="1">
      <c r="A492" s="275" t="s">
        <v>137</v>
      </c>
      <c r="B492" s="284" t="s">
        <v>607</v>
      </c>
      <c r="C492" s="275">
        <v>220321</v>
      </c>
      <c r="D492" s="403">
        <v>13</v>
      </c>
      <c r="E492" s="225">
        <f t="shared" si="30"/>
        <v>369845</v>
      </c>
      <c r="F492" s="229">
        <f t="shared" si="31"/>
        <v>378894</v>
      </c>
      <c r="G492" s="226">
        <v>369845</v>
      </c>
      <c r="H492" s="201">
        <v>378894</v>
      </c>
      <c r="I492" s="226"/>
      <c r="J492" s="201"/>
      <c r="K492" s="228"/>
      <c r="L492" s="228"/>
      <c r="M492" s="228"/>
      <c r="N492" s="202"/>
      <c r="O492" s="202"/>
      <c r="P492" s="202"/>
      <c r="Q492" s="228"/>
      <c r="R492" s="201"/>
      <c r="S492" s="225">
        <f t="shared" si="32"/>
        <v>0</v>
      </c>
      <c r="T492" s="229">
        <f t="shared" si="33"/>
        <v>0</v>
      </c>
      <c r="U492" s="226"/>
      <c r="V492" s="201"/>
      <c r="W492" s="226"/>
      <c r="X492" s="201"/>
      <c r="Y492" s="228"/>
      <c r="Z492" s="228"/>
      <c r="AA492" s="228"/>
      <c r="AB492" s="202"/>
      <c r="AC492" s="202"/>
      <c r="AD492" s="202"/>
      <c r="AE492" s="228"/>
      <c r="AF492" s="240"/>
    </row>
    <row r="493" spans="1:32" s="203" customFormat="1">
      <c r="A493" s="275" t="s">
        <v>137</v>
      </c>
      <c r="B493" s="284" t="s">
        <v>608</v>
      </c>
      <c r="C493" s="275">
        <v>220394</v>
      </c>
      <c r="D493" s="403">
        <v>13</v>
      </c>
      <c r="E493" s="225">
        <f t="shared" si="30"/>
        <v>146607</v>
      </c>
      <c r="F493" s="229">
        <f t="shared" si="31"/>
        <v>157941</v>
      </c>
      <c r="G493" s="226">
        <v>146607</v>
      </c>
      <c r="H493" s="201">
        <v>157941</v>
      </c>
      <c r="I493" s="226"/>
      <c r="J493" s="201"/>
      <c r="K493" s="228"/>
      <c r="L493" s="228"/>
      <c r="M493" s="228"/>
      <c r="N493" s="202"/>
      <c r="O493" s="202"/>
      <c r="P493" s="202"/>
      <c r="Q493" s="228"/>
      <c r="R493" s="201"/>
      <c r="S493" s="225">
        <f t="shared" si="32"/>
        <v>0</v>
      </c>
      <c r="T493" s="229">
        <f t="shared" si="33"/>
        <v>0</v>
      </c>
      <c r="U493" s="226"/>
      <c r="V493" s="201"/>
      <c r="W493" s="226"/>
      <c r="X493" s="201"/>
      <c r="Y493" s="228"/>
      <c r="Z493" s="228"/>
      <c r="AA493" s="228"/>
      <c r="AB493" s="202"/>
      <c r="AC493" s="202"/>
      <c r="AD493" s="202"/>
      <c r="AE493" s="228"/>
      <c r="AF493" s="240"/>
    </row>
    <row r="494" spans="1:32" s="203" customFormat="1">
      <c r="A494" s="275" t="s">
        <v>137</v>
      </c>
      <c r="B494" s="284" t="s">
        <v>609</v>
      </c>
      <c r="C494" s="275">
        <v>221616</v>
      </c>
      <c r="D494" s="403">
        <v>13</v>
      </c>
      <c r="E494" s="225">
        <f t="shared" si="30"/>
        <v>484708</v>
      </c>
      <c r="F494" s="229">
        <f t="shared" si="31"/>
        <v>531995</v>
      </c>
      <c r="G494" s="226">
        <v>484708</v>
      </c>
      <c r="H494" s="201">
        <v>531995</v>
      </c>
      <c r="I494" s="226"/>
      <c r="J494" s="201"/>
      <c r="K494" s="228"/>
      <c r="L494" s="228"/>
      <c r="M494" s="228"/>
      <c r="N494" s="202"/>
      <c r="O494" s="202"/>
      <c r="P494" s="202"/>
      <c r="Q494" s="228"/>
      <c r="R494" s="201"/>
      <c r="S494" s="225">
        <f t="shared" si="32"/>
        <v>0</v>
      </c>
      <c r="T494" s="229">
        <f t="shared" si="33"/>
        <v>0</v>
      </c>
      <c r="U494" s="226"/>
      <c r="V494" s="201"/>
      <c r="W494" s="226"/>
      <c r="X494" s="201"/>
      <c r="Y494" s="228"/>
      <c r="Z494" s="228"/>
      <c r="AA494" s="228"/>
      <c r="AB494" s="202"/>
      <c r="AC494" s="202"/>
      <c r="AD494" s="202"/>
      <c r="AE494" s="228"/>
      <c r="AF494" s="240"/>
    </row>
    <row r="495" spans="1:32" s="203" customFormat="1">
      <c r="A495" s="275" t="s">
        <v>137</v>
      </c>
      <c r="B495" s="284" t="s">
        <v>610</v>
      </c>
      <c r="C495" s="275">
        <v>221625</v>
      </c>
      <c r="D495" s="403">
        <v>13</v>
      </c>
      <c r="E495" s="225">
        <f t="shared" si="30"/>
        <v>486821</v>
      </c>
      <c r="F495" s="229">
        <f t="shared" si="31"/>
        <v>597906</v>
      </c>
      <c r="G495" s="226">
        <v>486821</v>
      </c>
      <c r="H495" s="201">
        <v>597906</v>
      </c>
      <c r="I495" s="226"/>
      <c r="J495" s="201"/>
      <c r="K495" s="228"/>
      <c r="L495" s="228"/>
      <c r="M495" s="228"/>
      <c r="N495" s="202"/>
      <c r="O495" s="202"/>
      <c r="P495" s="202"/>
      <c r="Q495" s="228"/>
      <c r="R495" s="201"/>
      <c r="S495" s="225">
        <f t="shared" si="32"/>
        <v>0</v>
      </c>
      <c r="T495" s="229">
        <f t="shared" si="33"/>
        <v>0</v>
      </c>
      <c r="U495" s="226"/>
      <c r="V495" s="201"/>
      <c r="W495" s="226"/>
      <c r="X495" s="201"/>
      <c r="Y495" s="228"/>
      <c r="Z495" s="228"/>
      <c r="AA495" s="228"/>
      <c r="AB495" s="202"/>
      <c r="AC495" s="202"/>
      <c r="AD495" s="202"/>
      <c r="AE495" s="228"/>
      <c r="AF495" s="240"/>
    </row>
    <row r="496" spans="1:32" s="203" customFormat="1">
      <c r="A496" s="275" t="s">
        <v>137</v>
      </c>
      <c r="B496" s="284" t="s">
        <v>611</v>
      </c>
      <c r="C496" s="275">
        <v>220640</v>
      </c>
      <c r="D496" s="403">
        <v>13</v>
      </c>
      <c r="E496" s="225">
        <f t="shared" si="30"/>
        <v>394660</v>
      </c>
      <c r="F496" s="229">
        <f t="shared" si="31"/>
        <v>424853</v>
      </c>
      <c r="G496" s="226">
        <v>394660</v>
      </c>
      <c r="H496" s="201">
        <v>424853</v>
      </c>
      <c r="I496" s="226"/>
      <c r="J496" s="201"/>
      <c r="K496" s="228"/>
      <c r="L496" s="228"/>
      <c r="M496" s="228"/>
      <c r="N496" s="202"/>
      <c r="O496" s="202"/>
      <c r="P496" s="202"/>
      <c r="Q496" s="228"/>
      <c r="R496" s="201"/>
      <c r="S496" s="225">
        <f t="shared" si="32"/>
        <v>0</v>
      </c>
      <c r="T496" s="229">
        <f t="shared" si="33"/>
        <v>0</v>
      </c>
      <c r="U496" s="226"/>
      <c r="V496" s="201"/>
      <c r="W496" s="226"/>
      <c r="X496" s="201"/>
      <c r="Y496" s="228"/>
      <c r="Z496" s="228"/>
      <c r="AA496" s="228"/>
      <c r="AB496" s="202"/>
      <c r="AC496" s="202"/>
      <c r="AD496" s="202"/>
      <c r="AE496" s="228"/>
      <c r="AF496" s="240"/>
    </row>
    <row r="497" spans="1:32" s="203" customFormat="1">
      <c r="A497" s="275" t="s">
        <v>137</v>
      </c>
      <c r="B497" s="284" t="s">
        <v>612</v>
      </c>
      <c r="C497" s="275">
        <v>220756</v>
      </c>
      <c r="D497" s="403">
        <v>13</v>
      </c>
      <c r="E497" s="225">
        <f t="shared" si="30"/>
        <v>240404</v>
      </c>
      <c r="F497" s="229">
        <f t="shared" si="31"/>
        <v>255342</v>
      </c>
      <c r="G497" s="226">
        <v>240404</v>
      </c>
      <c r="H497" s="201">
        <v>255342</v>
      </c>
      <c r="I497" s="226"/>
      <c r="J497" s="201"/>
      <c r="K497" s="228"/>
      <c r="L497" s="228"/>
      <c r="M497" s="228"/>
      <c r="N497" s="202"/>
      <c r="O497" s="202"/>
      <c r="P497" s="202"/>
      <c r="Q497" s="228"/>
      <c r="R497" s="201"/>
      <c r="S497" s="225">
        <f t="shared" si="32"/>
        <v>0</v>
      </c>
      <c r="T497" s="229">
        <f t="shared" si="33"/>
        <v>0</v>
      </c>
      <c r="U497" s="226"/>
      <c r="V497" s="201"/>
      <c r="W497" s="226"/>
      <c r="X497" s="201"/>
      <c r="Y497" s="228"/>
      <c r="Z497" s="228"/>
      <c r="AA497" s="228"/>
      <c r="AB497" s="202"/>
      <c r="AC497" s="202"/>
      <c r="AD497" s="202"/>
      <c r="AE497" s="228"/>
      <c r="AF497" s="240"/>
    </row>
    <row r="498" spans="1:32" s="203" customFormat="1">
      <c r="A498" s="275" t="s">
        <v>137</v>
      </c>
      <c r="B498" s="284" t="s">
        <v>613</v>
      </c>
      <c r="C498" s="275">
        <v>221607</v>
      </c>
      <c r="D498" s="403">
        <v>13</v>
      </c>
      <c r="E498" s="225">
        <f t="shared" si="30"/>
        <v>248363</v>
      </c>
      <c r="F498" s="229">
        <f t="shared" si="31"/>
        <v>232095</v>
      </c>
      <c r="G498" s="226">
        <v>248363</v>
      </c>
      <c r="H498" s="201">
        <v>232095</v>
      </c>
      <c r="I498" s="226"/>
      <c r="J498" s="201"/>
      <c r="K498" s="228"/>
      <c r="L498" s="228"/>
      <c r="M498" s="228"/>
      <c r="N498" s="202"/>
      <c r="O498" s="202"/>
      <c r="P498" s="202"/>
      <c r="Q498" s="228"/>
      <c r="R498" s="201"/>
      <c r="S498" s="225">
        <f t="shared" si="32"/>
        <v>0</v>
      </c>
      <c r="T498" s="229">
        <f t="shared" si="33"/>
        <v>0</v>
      </c>
      <c r="U498" s="226"/>
      <c r="V498" s="201"/>
      <c r="W498" s="226"/>
      <c r="X498" s="201"/>
      <c r="Y498" s="228"/>
      <c r="Z498" s="228"/>
      <c r="AA498" s="228"/>
      <c r="AB498" s="202"/>
      <c r="AC498" s="202"/>
      <c r="AD498" s="202"/>
      <c r="AE498" s="228"/>
      <c r="AF498" s="240"/>
    </row>
    <row r="499" spans="1:32" s="203" customFormat="1">
      <c r="A499" s="275" t="s">
        <v>137</v>
      </c>
      <c r="B499" s="284" t="s">
        <v>614</v>
      </c>
      <c r="C499" s="275">
        <v>220853</v>
      </c>
      <c r="D499" s="403">
        <v>13</v>
      </c>
      <c r="E499" s="225">
        <f t="shared" si="30"/>
        <v>772816</v>
      </c>
      <c r="F499" s="229">
        <f t="shared" si="31"/>
        <v>728134</v>
      </c>
      <c r="G499" s="226">
        <v>772816</v>
      </c>
      <c r="H499" s="201">
        <v>728134</v>
      </c>
      <c r="I499" s="226"/>
      <c r="J499" s="201"/>
      <c r="K499" s="228"/>
      <c r="L499" s="228"/>
      <c r="M499" s="228"/>
      <c r="N499" s="202"/>
      <c r="O499" s="202"/>
      <c r="P499" s="202"/>
      <c r="Q499" s="228"/>
      <c r="R499" s="201"/>
      <c r="S499" s="225">
        <f t="shared" si="32"/>
        <v>0</v>
      </c>
      <c r="T499" s="229">
        <f t="shared" si="33"/>
        <v>0</v>
      </c>
      <c r="U499" s="226"/>
      <c r="V499" s="201"/>
      <c r="W499" s="226"/>
      <c r="X499" s="201"/>
      <c r="Y499" s="228"/>
      <c r="Z499" s="228"/>
      <c r="AA499" s="228"/>
      <c r="AB499" s="202"/>
      <c r="AC499" s="202"/>
      <c r="AD499" s="202"/>
      <c r="AE499" s="228"/>
      <c r="AF499" s="240"/>
    </row>
    <row r="500" spans="1:32" s="203" customFormat="1">
      <c r="A500" s="275" t="s">
        <v>137</v>
      </c>
      <c r="B500" s="284" t="s">
        <v>615</v>
      </c>
      <c r="C500" s="275">
        <v>221050</v>
      </c>
      <c r="D500" s="367">
        <v>13</v>
      </c>
      <c r="E500" s="225">
        <f t="shared" si="30"/>
        <v>559354</v>
      </c>
      <c r="F500" s="229">
        <f t="shared" si="31"/>
        <v>552425</v>
      </c>
      <c r="G500" s="226">
        <v>559354</v>
      </c>
      <c r="H500" s="201">
        <v>552425</v>
      </c>
      <c r="I500" s="226"/>
      <c r="J500" s="201"/>
      <c r="K500" s="228"/>
      <c r="L500" s="228"/>
      <c r="M500" s="228"/>
      <c r="N500" s="202"/>
      <c r="O500" s="202"/>
      <c r="P500" s="202"/>
      <c r="Q500" s="228"/>
      <c r="R500" s="201"/>
      <c r="S500" s="225">
        <f t="shared" si="32"/>
        <v>0</v>
      </c>
      <c r="T500" s="229">
        <f t="shared" si="33"/>
        <v>0</v>
      </c>
      <c r="U500" s="226"/>
      <c r="V500" s="201"/>
      <c r="W500" s="226"/>
      <c r="X500" s="201"/>
      <c r="Y500" s="228"/>
      <c r="Z500" s="228"/>
      <c r="AA500" s="228"/>
      <c r="AB500" s="202"/>
      <c r="AC500" s="202"/>
      <c r="AD500" s="202"/>
      <c r="AE500" s="228"/>
      <c r="AF500" s="240"/>
    </row>
    <row r="501" spans="1:32" s="203" customFormat="1">
      <c r="A501" s="275" t="s">
        <v>137</v>
      </c>
      <c r="B501" s="284" t="s">
        <v>616</v>
      </c>
      <c r="C501" s="275">
        <v>221102</v>
      </c>
      <c r="D501" s="367">
        <v>13</v>
      </c>
      <c r="E501" s="225">
        <f t="shared" si="30"/>
        <v>372138</v>
      </c>
      <c r="F501" s="229">
        <f t="shared" si="31"/>
        <v>400942</v>
      </c>
      <c r="G501" s="226">
        <v>372138</v>
      </c>
      <c r="H501" s="201">
        <v>400942</v>
      </c>
      <c r="I501" s="226"/>
      <c r="J501" s="201"/>
      <c r="K501" s="228"/>
      <c r="L501" s="228"/>
      <c r="M501" s="228"/>
      <c r="N501" s="202"/>
      <c r="O501" s="202"/>
      <c r="P501" s="202"/>
      <c r="Q501" s="228"/>
      <c r="R501" s="201"/>
      <c r="S501" s="225">
        <f t="shared" si="32"/>
        <v>0</v>
      </c>
      <c r="T501" s="229">
        <f t="shared" si="33"/>
        <v>0</v>
      </c>
      <c r="U501" s="226"/>
      <c r="V501" s="201"/>
      <c r="W501" s="226"/>
      <c r="X501" s="201"/>
      <c r="Y501" s="228"/>
      <c r="Z501" s="228"/>
      <c r="AA501" s="228"/>
      <c r="AB501" s="202"/>
      <c r="AC501" s="202"/>
      <c r="AD501" s="202"/>
      <c r="AE501" s="228"/>
      <c r="AF501" s="240"/>
    </row>
    <row r="502" spans="1:32" s="203" customFormat="1">
      <c r="A502" s="275" t="s">
        <v>137</v>
      </c>
      <c r="B502" s="284" t="s">
        <v>617</v>
      </c>
      <c r="C502" s="275">
        <v>248925</v>
      </c>
      <c r="D502" s="367">
        <v>13</v>
      </c>
      <c r="E502" s="225">
        <f t="shared" si="30"/>
        <v>574789</v>
      </c>
      <c r="F502" s="229">
        <f t="shared" si="31"/>
        <v>641647</v>
      </c>
      <c r="G502" s="226">
        <v>574789</v>
      </c>
      <c r="H502" s="201">
        <v>641647</v>
      </c>
      <c r="I502" s="226"/>
      <c r="J502" s="201"/>
      <c r="K502" s="228"/>
      <c r="L502" s="228"/>
      <c r="M502" s="228"/>
      <c r="N502" s="202"/>
      <c r="O502" s="202"/>
      <c r="P502" s="202"/>
      <c r="Q502" s="228"/>
      <c r="R502" s="201"/>
      <c r="S502" s="225">
        <f t="shared" si="32"/>
        <v>0</v>
      </c>
      <c r="T502" s="229">
        <f t="shared" si="33"/>
        <v>0</v>
      </c>
      <c r="U502" s="226"/>
      <c r="V502" s="201"/>
      <c r="W502" s="226"/>
      <c r="X502" s="201"/>
      <c r="Y502" s="228"/>
      <c r="Z502" s="228"/>
      <c r="AA502" s="228"/>
      <c r="AB502" s="202"/>
      <c r="AC502" s="202"/>
      <c r="AD502" s="202"/>
      <c r="AE502" s="228"/>
      <c r="AF502" s="240"/>
    </row>
    <row r="503" spans="1:32" s="203" customFormat="1">
      <c r="A503" s="275" t="s">
        <v>137</v>
      </c>
      <c r="B503" s="284" t="s">
        <v>618</v>
      </c>
      <c r="C503" s="275">
        <v>221236</v>
      </c>
      <c r="D503" s="367">
        <v>13</v>
      </c>
      <c r="E503" s="225">
        <f t="shared" si="30"/>
        <v>188774</v>
      </c>
      <c r="F503" s="229">
        <f t="shared" si="31"/>
        <v>201750</v>
      </c>
      <c r="G503" s="226">
        <v>188774</v>
      </c>
      <c r="H503" s="201">
        <v>201750</v>
      </c>
      <c r="I503" s="226"/>
      <c r="J503" s="201"/>
      <c r="K503" s="228"/>
      <c r="L503" s="228"/>
      <c r="M503" s="228"/>
      <c r="N503" s="202"/>
      <c r="O503" s="202"/>
      <c r="P503" s="202"/>
      <c r="Q503" s="228"/>
      <c r="R503" s="201"/>
      <c r="S503" s="225">
        <f t="shared" si="32"/>
        <v>0</v>
      </c>
      <c r="T503" s="229">
        <f t="shared" si="33"/>
        <v>0</v>
      </c>
      <c r="U503" s="226"/>
      <c r="V503" s="201"/>
      <c r="W503" s="226"/>
      <c r="X503" s="201"/>
      <c r="Y503" s="228"/>
      <c r="Z503" s="228"/>
      <c r="AA503" s="228"/>
      <c r="AB503" s="202"/>
      <c r="AC503" s="202"/>
      <c r="AD503" s="202"/>
      <c r="AE503" s="228"/>
      <c r="AF503" s="240"/>
    </row>
    <row r="504" spans="1:32" s="203" customFormat="1">
      <c r="A504" s="275" t="s">
        <v>137</v>
      </c>
      <c r="B504" s="284" t="s">
        <v>619</v>
      </c>
      <c r="C504" s="275">
        <v>221582</v>
      </c>
      <c r="D504" s="367">
        <v>13</v>
      </c>
      <c r="E504" s="225">
        <f t="shared" si="30"/>
        <v>234014</v>
      </c>
      <c r="F504" s="229">
        <f t="shared" si="31"/>
        <v>239241</v>
      </c>
      <c r="G504" s="226">
        <v>234014</v>
      </c>
      <c r="H504" s="201">
        <v>239241</v>
      </c>
      <c r="I504" s="226"/>
      <c r="J504" s="201"/>
      <c r="K504" s="228"/>
      <c r="L504" s="228"/>
      <c r="M504" s="228"/>
      <c r="N504" s="202"/>
      <c r="O504" s="202"/>
      <c r="P504" s="202"/>
      <c r="Q504" s="228"/>
      <c r="R504" s="201"/>
      <c r="S504" s="225">
        <f t="shared" si="32"/>
        <v>0</v>
      </c>
      <c r="T504" s="229">
        <f t="shared" si="33"/>
        <v>0</v>
      </c>
      <c r="U504" s="226"/>
      <c r="V504" s="201"/>
      <c r="W504" s="226"/>
      <c r="X504" s="201"/>
      <c r="Y504" s="228"/>
      <c r="Z504" s="228"/>
      <c r="AA504" s="228"/>
      <c r="AB504" s="202"/>
      <c r="AC504" s="202"/>
      <c r="AD504" s="202"/>
      <c r="AE504" s="228"/>
      <c r="AF504" s="240"/>
    </row>
    <row r="505" spans="1:32" s="203" customFormat="1">
      <c r="A505" s="275" t="s">
        <v>137</v>
      </c>
      <c r="B505" s="284" t="s">
        <v>620</v>
      </c>
      <c r="C505" s="275">
        <v>221281</v>
      </c>
      <c r="D505" s="367">
        <v>13</v>
      </c>
      <c r="E505" s="225">
        <f t="shared" si="30"/>
        <v>326287</v>
      </c>
      <c r="F505" s="229">
        <f t="shared" si="31"/>
        <v>331689</v>
      </c>
      <c r="G505" s="226">
        <v>326287</v>
      </c>
      <c r="H505" s="201">
        <v>331689</v>
      </c>
      <c r="I505" s="226"/>
      <c r="J505" s="201"/>
      <c r="K505" s="228"/>
      <c r="L505" s="228"/>
      <c r="M505" s="228"/>
      <c r="N505" s="202"/>
      <c r="O505" s="202"/>
      <c r="P505" s="202"/>
      <c r="Q505" s="228"/>
      <c r="R505" s="201"/>
      <c r="S505" s="225">
        <f t="shared" si="32"/>
        <v>0</v>
      </c>
      <c r="T505" s="229">
        <f t="shared" si="33"/>
        <v>0</v>
      </c>
      <c r="U505" s="226"/>
      <c r="V505" s="201"/>
      <c r="W505" s="226"/>
      <c r="X505" s="201"/>
      <c r="Y505" s="228"/>
      <c r="Z505" s="228"/>
      <c r="AA505" s="228"/>
      <c r="AB505" s="202"/>
      <c r="AC505" s="202"/>
      <c r="AD505" s="202"/>
      <c r="AE505" s="228"/>
      <c r="AF505" s="240"/>
    </row>
    <row r="506" spans="1:32" s="203" customFormat="1">
      <c r="A506" s="275" t="s">
        <v>137</v>
      </c>
      <c r="B506" s="284" t="s">
        <v>621</v>
      </c>
      <c r="C506" s="275">
        <v>221333</v>
      </c>
      <c r="D506" s="367">
        <v>13</v>
      </c>
      <c r="E506" s="225">
        <f t="shared" si="30"/>
        <v>275431</v>
      </c>
      <c r="F506" s="229">
        <f t="shared" si="31"/>
        <v>269782</v>
      </c>
      <c r="G506" s="226">
        <v>275431</v>
      </c>
      <c r="H506" s="201">
        <v>269782</v>
      </c>
      <c r="I506" s="226"/>
      <c r="J506" s="201"/>
      <c r="K506" s="228"/>
      <c r="L506" s="228"/>
      <c r="M506" s="228"/>
      <c r="N506" s="202"/>
      <c r="O506" s="202"/>
      <c r="P506" s="202"/>
      <c r="Q506" s="228"/>
      <c r="R506" s="201"/>
      <c r="S506" s="225">
        <f t="shared" si="32"/>
        <v>0</v>
      </c>
      <c r="T506" s="229">
        <f t="shared" si="33"/>
        <v>0</v>
      </c>
      <c r="U506" s="226"/>
      <c r="V506" s="201"/>
      <c r="W506" s="226"/>
      <c r="X506" s="201"/>
      <c r="Y506" s="228"/>
      <c r="Z506" s="228"/>
      <c r="AA506" s="228"/>
      <c r="AB506" s="202"/>
      <c r="AC506" s="202"/>
      <c r="AD506" s="202"/>
      <c r="AE506" s="228"/>
      <c r="AF506" s="240"/>
    </row>
    <row r="507" spans="1:32" s="203" customFormat="1">
      <c r="A507" s="275" t="s">
        <v>137</v>
      </c>
      <c r="B507" s="284" t="s">
        <v>622</v>
      </c>
      <c r="C507" s="275">
        <v>221388</v>
      </c>
      <c r="D507" s="367">
        <v>13</v>
      </c>
      <c r="E507" s="225">
        <f t="shared" si="30"/>
        <v>149775</v>
      </c>
      <c r="F507" s="229">
        <f t="shared" si="31"/>
        <v>159885</v>
      </c>
      <c r="G507" s="226">
        <v>149775</v>
      </c>
      <c r="H507" s="201">
        <v>159885</v>
      </c>
      <c r="I507" s="226"/>
      <c r="J507" s="201"/>
      <c r="K507" s="228"/>
      <c r="L507" s="228"/>
      <c r="M507" s="228"/>
      <c r="N507" s="202"/>
      <c r="O507" s="202"/>
      <c r="P507" s="202"/>
      <c r="Q507" s="228"/>
      <c r="R507" s="201"/>
      <c r="S507" s="225">
        <f t="shared" si="32"/>
        <v>0</v>
      </c>
      <c r="T507" s="229">
        <f t="shared" si="33"/>
        <v>0</v>
      </c>
      <c r="U507" s="226"/>
      <c r="V507" s="201"/>
      <c r="W507" s="226"/>
      <c r="X507" s="201"/>
      <c r="Y507" s="228"/>
      <c r="Z507" s="228"/>
      <c r="AA507" s="228"/>
      <c r="AB507" s="202"/>
      <c r="AC507" s="202"/>
      <c r="AD507" s="202"/>
      <c r="AE507" s="228"/>
      <c r="AF507" s="240"/>
    </row>
    <row r="508" spans="1:32" s="203" customFormat="1">
      <c r="A508" s="275" t="s">
        <v>137</v>
      </c>
      <c r="B508" s="284" t="s">
        <v>623</v>
      </c>
      <c r="C508" s="275">
        <v>221494</v>
      </c>
      <c r="D508" s="367">
        <v>13</v>
      </c>
      <c r="E508" s="225">
        <f t="shared" si="30"/>
        <v>454814</v>
      </c>
      <c r="F508" s="229">
        <f t="shared" si="31"/>
        <v>465230</v>
      </c>
      <c r="G508" s="226">
        <v>454814</v>
      </c>
      <c r="H508" s="201">
        <v>465230</v>
      </c>
      <c r="I508" s="226"/>
      <c r="J508" s="201"/>
      <c r="K508" s="228"/>
      <c r="L508" s="228"/>
      <c r="M508" s="228"/>
      <c r="N508" s="202"/>
      <c r="O508" s="202"/>
      <c r="P508" s="202"/>
      <c r="Q508" s="228"/>
      <c r="R508" s="201"/>
      <c r="S508" s="225">
        <f t="shared" si="32"/>
        <v>0</v>
      </c>
      <c r="T508" s="229">
        <f t="shared" si="33"/>
        <v>0</v>
      </c>
      <c r="U508" s="226"/>
      <c r="V508" s="201"/>
      <c r="W508" s="226"/>
      <c r="X508" s="201"/>
      <c r="Y508" s="228"/>
      <c r="Z508" s="228"/>
      <c r="AA508" s="228"/>
      <c r="AB508" s="202"/>
      <c r="AC508" s="202"/>
      <c r="AD508" s="202"/>
      <c r="AE508" s="228"/>
      <c r="AF508" s="240"/>
    </row>
    <row r="509" spans="1:32" s="203" customFormat="1">
      <c r="A509" s="275" t="s">
        <v>137</v>
      </c>
      <c r="B509" s="284" t="s">
        <v>624</v>
      </c>
      <c r="C509" s="275">
        <v>221634</v>
      </c>
      <c r="D509" s="367">
        <v>13</v>
      </c>
      <c r="E509" s="225">
        <f t="shared" si="30"/>
        <v>158188</v>
      </c>
      <c r="F509" s="229">
        <f t="shared" si="31"/>
        <v>167254</v>
      </c>
      <c r="G509" s="226">
        <v>158188</v>
      </c>
      <c r="H509" s="201">
        <v>167254</v>
      </c>
      <c r="I509" s="226"/>
      <c r="J509" s="201"/>
      <c r="K509" s="228"/>
      <c r="L509" s="228"/>
      <c r="M509" s="228"/>
      <c r="N509" s="202"/>
      <c r="O509" s="202"/>
      <c r="P509" s="202"/>
      <c r="Q509" s="228"/>
      <c r="R509" s="201"/>
      <c r="S509" s="225">
        <f t="shared" si="32"/>
        <v>0</v>
      </c>
      <c r="T509" s="229">
        <f t="shared" si="33"/>
        <v>0</v>
      </c>
      <c r="U509" s="226"/>
      <c r="V509" s="201"/>
      <c r="W509" s="226"/>
      <c r="X509" s="201"/>
      <c r="Y509" s="228"/>
      <c r="Z509" s="228"/>
      <c r="AA509" s="228"/>
      <c r="AB509" s="202"/>
      <c r="AC509" s="202"/>
      <c r="AD509" s="202"/>
      <c r="AE509" s="228"/>
      <c r="AF509" s="240"/>
    </row>
    <row r="510" spans="1:32" s="203" customFormat="1">
      <c r="A510" s="275" t="s">
        <v>137</v>
      </c>
      <c r="B510" s="284" t="s">
        <v>625</v>
      </c>
      <c r="C510" s="275">
        <v>221704</v>
      </c>
      <c r="D510" s="367">
        <v>15</v>
      </c>
      <c r="E510" s="225">
        <f t="shared" si="30"/>
        <v>0</v>
      </c>
      <c r="F510" s="229">
        <f t="shared" si="31"/>
        <v>0</v>
      </c>
      <c r="G510" s="226"/>
      <c r="H510" s="201"/>
      <c r="I510" s="226"/>
      <c r="J510" s="201"/>
      <c r="K510" s="228"/>
      <c r="L510" s="228"/>
      <c r="M510" s="228"/>
      <c r="N510" s="202"/>
      <c r="O510" s="202"/>
      <c r="P510" s="202"/>
      <c r="Q510" s="228"/>
      <c r="R510" s="201"/>
      <c r="S510" s="225">
        <f t="shared" si="32"/>
        <v>0</v>
      </c>
      <c r="T510" s="229">
        <f t="shared" si="33"/>
        <v>0</v>
      </c>
      <c r="U510" s="226"/>
      <c r="V510" s="201"/>
      <c r="W510" s="226"/>
      <c r="X510" s="201"/>
      <c r="Y510" s="228"/>
      <c r="Z510" s="228"/>
      <c r="AA510" s="228"/>
      <c r="AB510" s="202"/>
      <c r="AC510" s="202"/>
      <c r="AD510" s="202"/>
      <c r="AE510" s="228"/>
      <c r="AF510" s="240"/>
    </row>
    <row r="511" spans="1:32" s="203" customFormat="1">
      <c r="A511" s="286" t="s">
        <v>133</v>
      </c>
      <c r="B511" s="287" t="s">
        <v>626</v>
      </c>
      <c r="C511" s="286">
        <v>228723</v>
      </c>
      <c r="D511" s="250">
        <v>1</v>
      </c>
      <c r="E511" s="225">
        <f t="shared" si="30"/>
        <v>1027623</v>
      </c>
      <c r="F511" s="229">
        <f t="shared" si="31"/>
        <v>1057860</v>
      </c>
      <c r="G511" s="226">
        <v>997499</v>
      </c>
      <c r="H511" s="201">
        <v>1026059</v>
      </c>
      <c r="I511" s="226">
        <v>4465</v>
      </c>
      <c r="J511" s="201">
        <v>5370</v>
      </c>
      <c r="K511" s="228">
        <v>23883</v>
      </c>
      <c r="L511" s="228">
        <v>0</v>
      </c>
      <c r="M511" s="228">
        <v>1776</v>
      </c>
      <c r="N511" s="202">
        <v>25153</v>
      </c>
      <c r="O511" s="202">
        <v>0</v>
      </c>
      <c r="P511" s="202">
        <v>1278</v>
      </c>
      <c r="Q511" s="228"/>
      <c r="R511" s="201"/>
      <c r="S511" s="225">
        <f t="shared" si="32"/>
        <v>159703</v>
      </c>
      <c r="T511" s="229">
        <f t="shared" si="33"/>
        <v>167925</v>
      </c>
      <c r="U511" s="226">
        <v>148718</v>
      </c>
      <c r="V511" s="201">
        <v>153221</v>
      </c>
      <c r="W511" s="226">
        <v>2651</v>
      </c>
      <c r="X511" s="201">
        <v>3055</v>
      </c>
      <c r="Y511" s="228">
        <v>7507</v>
      </c>
      <c r="Z511" s="228">
        <v>260</v>
      </c>
      <c r="AA511" s="228">
        <v>567</v>
      </c>
      <c r="AB511" s="202">
        <v>11349</v>
      </c>
      <c r="AC511" s="202">
        <v>159</v>
      </c>
      <c r="AD511" s="202">
        <v>141</v>
      </c>
      <c r="AE511" s="228"/>
      <c r="AF511" s="240"/>
    </row>
    <row r="512" spans="1:32" s="203" customFormat="1">
      <c r="A512" s="286" t="s">
        <v>133</v>
      </c>
      <c r="B512" s="287" t="s">
        <v>627</v>
      </c>
      <c r="C512" s="286">
        <v>229115</v>
      </c>
      <c r="D512" s="250">
        <v>1</v>
      </c>
      <c r="E512" s="225">
        <f t="shared" si="30"/>
        <v>649666</v>
      </c>
      <c r="F512" s="229">
        <f t="shared" si="31"/>
        <v>650375</v>
      </c>
      <c r="G512" s="226">
        <v>623614</v>
      </c>
      <c r="H512" s="201">
        <v>614182</v>
      </c>
      <c r="I512" s="226">
        <v>4102</v>
      </c>
      <c r="J512" s="201">
        <v>5432</v>
      </c>
      <c r="K512" s="228">
        <v>21335</v>
      </c>
      <c r="L512" s="228">
        <v>591</v>
      </c>
      <c r="M512" s="228">
        <v>24</v>
      </c>
      <c r="N512" s="202">
        <v>9269</v>
      </c>
      <c r="O512" s="202">
        <v>201</v>
      </c>
      <c r="P512" s="202">
        <v>21291</v>
      </c>
      <c r="Q512" s="228"/>
      <c r="R512" s="201"/>
      <c r="S512" s="225">
        <f t="shared" si="32"/>
        <v>105015</v>
      </c>
      <c r="T512" s="229">
        <f t="shared" si="33"/>
        <v>105780</v>
      </c>
      <c r="U512" s="226">
        <v>94771</v>
      </c>
      <c r="V512" s="201">
        <v>93295</v>
      </c>
      <c r="W512" s="226">
        <v>1344</v>
      </c>
      <c r="X512" s="201">
        <v>1253</v>
      </c>
      <c r="Y512" s="228">
        <v>5860</v>
      </c>
      <c r="Z512" s="228">
        <v>2581</v>
      </c>
      <c r="AA512" s="228">
        <v>459</v>
      </c>
      <c r="AB512" s="202">
        <v>7775</v>
      </c>
      <c r="AC512" s="202">
        <v>1343</v>
      </c>
      <c r="AD512" s="202">
        <v>2114</v>
      </c>
      <c r="AE512" s="228"/>
      <c r="AF512" s="240"/>
    </row>
    <row r="513" spans="1:32" s="203" customFormat="1">
      <c r="A513" s="286" t="s">
        <v>133</v>
      </c>
      <c r="B513" s="287" t="s">
        <v>628</v>
      </c>
      <c r="C513" s="286">
        <v>225511</v>
      </c>
      <c r="D513" s="250">
        <v>1</v>
      </c>
      <c r="E513" s="225">
        <f t="shared" si="30"/>
        <v>668546</v>
      </c>
      <c r="F513" s="229">
        <f t="shared" si="31"/>
        <v>690189</v>
      </c>
      <c r="G513" s="226">
        <v>577008</v>
      </c>
      <c r="H513" s="201">
        <v>580452</v>
      </c>
      <c r="I513" s="226">
        <v>3820</v>
      </c>
      <c r="J513" s="201">
        <v>3882</v>
      </c>
      <c r="K513" s="228">
        <v>55687</v>
      </c>
      <c r="L513" s="228">
        <v>336</v>
      </c>
      <c r="M513" s="228">
        <v>31695</v>
      </c>
      <c r="N513" s="202">
        <v>54243</v>
      </c>
      <c r="O513" s="202">
        <v>291</v>
      </c>
      <c r="P513" s="202">
        <v>51321</v>
      </c>
      <c r="Q513" s="228"/>
      <c r="R513" s="201"/>
      <c r="S513" s="225">
        <f t="shared" si="32"/>
        <v>156906</v>
      </c>
      <c r="T513" s="229">
        <f t="shared" si="33"/>
        <v>161647</v>
      </c>
      <c r="U513" s="226">
        <v>149670</v>
      </c>
      <c r="V513" s="201">
        <v>154499</v>
      </c>
      <c r="W513" s="226">
        <v>2466</v>
      </c>
      <c r="X513" s="201">
        <v>1334</v>
      </c>
      <c r="Y513" s="228">
        <v>3831</v>
      </c>
      <c r="Z513" s="228">
        <v>132</v>
      </c>
      <c r="AA513" s="228">
        <v>807</v>
      </c>
      <c r="AB513" s="202">
        <v>5013</v>
      </c>
      <c r="AC513" s="202">
        <v>21</v>
      </c>
      <c r="AD513" s="202">
        <v>780</v>
      </c>
      <c r="AE513" s="228"/>
      <c r="AF513" s="240"/>
    </row>
    <row r="514" spans="1:32" s="203" customFormat="1">
      <c r="A514" s="286" t="s">
        <v>133</v>
      </c>
      <c r="B514" s="287" t="s">
        <v>629</v>
      </c>
      <c r="C514" s="286">
        <v>227216</v>
      </c>
      <c r="D514" s="250">
        <v>1</v>
      </c>
      <c r="E514" s="225">
        <f t="shared" si="30"/>
        <v>718479</v>
      </c>
      <c r="F514" s="229">
        <f t="shared" si="31"/>
        <v>736053</v>
      </c>
      <c r="G514" s="226">
        <v>638144</v>
      </c>
      <c r="H514" s="201">
        <v>649614</v>
      </c>
      <c r="I514" s="226">
        <v>22451</v>
      </c>
      <c r="J514" s="201">
        <v>25770</v>
      </c>
      <c r="K514" s="228">
        <v>57542</v>
      </c>
      <c r="L514" s="228">
        <v>112</v>
      </c>
      <c r="M514" s="228">
        <v>230</v>
      </c>
      <c r="N514" s="202">
        <v>60404</v>
      </c>
      <c r="O514" s="202">
        <v>156</v>
      </c>
      <c r="P514" s="202">
        <v>109</v>
      </c>
      <c r="Q514" s="228"/>
      <c r="R514" s="201"/>
      <c r="S514" s="225">
        <f t="shared" si="32"/>
        <v>100446</v>
      </c>
      <c r="T514" s="229">
        <f t="shared" si="33"/>
        <v>101838</v>
      </c>
      <c r="U514" s="226">
        <v>66138</v>
      </c>
      <c r="V514" s="201">
        <v>63146</v>
      </c>
      <c r="W514" s="226">
        <v>6273</v>
      </c>
      <c r="X514" s="201">
        <v>9107</v>
      </c>
      <c r="Y514" s="228">
        <v>27570</v>
      </c>
      <c r="Z514" s="228">
        <v>334</v>
      </c>
      <c r="AA514" s="228">
        <v>131</v>
      </c>
      <c r="AB514" s="202">
        <v>29167</v>
      </c>
      <c r="AC514" s="202">
        <v>297</v>
      </c>
      <c r="AD514" s="202">
        <v>121</v>
      </c>
      <c r="AE514" s="228"/>
      <c r="AF514" s="240"/>
    </row>
    <row r="515" spans="1:32" s="203" customFormat="1">
      <c r="A515" s="286" t="s">
        <v>133</v>
      </c>
      <c r="B515" s="285" t="s">
        <v>633</v>
      </c>
      <c r="C515" s="286">
        <v>228769</v>
      </c>
      <c r="D515" s="405">
        <v>1</v>
      </c>
      <c r="E515" s="225">
        <f t="shared" si="30"/>
        <v>470303</v>
      </c>
      <c r="F515" s="229">
        <f t="shared" si="31"/>
        <v>465531</v>
      </c>
      <c r="G515" s="226">
        <v>452055</v>
      </c>
      <c r="H515" s="201">
        <v>445525</v>
      </c>
      <c r="I515" s="226">
        <v>3495</v>
      </c>
      <c r="J515" s="201">
        <v>3731</v>
      </c>
      <c r="K515" s="228">
        <v>11850</v>
      </c>
      <c r="L515" s="228">
        <v>315</v>
      </c>
      <c r="M515" s="228">
        <v>2588</v>
      </c>
      <c r="N515" s="202">
        <v>13923</v>
      </c>
      <c r="O515" s="202">
        <v>342</v>
      </c>
      <c r="P515" s="202">
        <v>2010</v>
      </c>
      <c r="Q515" s="228"/>
      <c r="R515" s="201"/>
      <c r="S515" s="225">
        <f t="shared" si="32"/>
        <v>92844</v>
      </c>
      <c r="T515" s="229">
        <f t="shared" si="33"/>
        <v>97180</v>
      </c>
      <c r="U515" s="226">
        <v>76894</v>
      </c>
      <c r="V515" s="201">
        <v>79623</v>
      </c>
      <c r="W515" s="226">
        <v>7017</v>
      </c>
      <c r="X515" s="201">
        <v>8022</v>
      </c>
      <c r="Y515" s="228">
        <v>8330</v>
      </c>
      <c r="Z515" s="228">
        <v>369</v>
      </c>
      <c r="AA515" s="228">
        <v>234</v>
      </c>
      <c r="AB515" s="202">
        <v>8890</v>
      </c>
      <c r="AC515" s="202">
        <v>252</v>
      </c>
      <c r="AD515" s="202">
        <v>393</v>
      </c>
      <c r="AE515" s="228"/>
      <c r="AF515" s="240"/>
    </row>
    <row r="516" spans="1:32" s="203" customFormat="1">
      <c r="A516" s="286" t="s">
        <v>133</v>
      </c>
      <c r="B516" s="287" t="s">
        <v>630</v>
      </c>
      <c r="C516" s="286">
        <v>228778</v>
      </c>
      <c r="D516" s="250">
        <v>1</v>
      </c>
      <c r="E516" s="225">
        <f t="shared" si="30"/>
        <v>1018942</v>
      </c>
      <c r="F516" s="229">
        <f t="shared" si="31"/>
        <v>1023600</v>
      </c>
      <c r="G516" s="226">
        <v>1014852</v>
      </c>
      <c r="H516" s="201">
        <v>1019566</v>
      </c>
      <c r="I516" s="226">
        <v>4090</v>
      </c>
      <c r="J516" s="201">
        <v>4034</v>
      </c>
      <c r="K516" s="228">
        <v>0</v>
      </c>
      <c r="L516" s="228">
        <v>0</v>
      </c>
      <c r="M516" s="228">
        <v>0</v>
      </c>
      <c r="N516" s="202">
        <v>0</v>
      </c>
      <c r="O516" s="202">
        <v>0</v>
      </c>
      <c r="P516" s="202">
        <v>0</v>
      </c>
      <c r="Q516" s="228"/>
      <c r="R516" s="201"/>
      <c r="S516" s="225">
        <f t="shared" si="32"/>
        <v>264893</v>
      </c>
      <c r="T516" s="229">
        <f t="shared" si="33"/>
        <v>262037</v>
      </c>
      <c r="U516" s="226">
        <v>264696</v>
      </c>
      <c r="V516" s="201">
        <v>261741</v>
      </c>
      <c r="W516" s="226">
        <v>197</v>
      </c>
      <c r="X516" s="201">
        <v>296</v>
      </c>
      <c r="Y516" s="228">
        <v>0</v>
      </c>
      <c r="Z516" s="228">
        <v>0</v>
      </c>
      <c r="AA516" s="228">
        <v>0</v>
      </c>
      <c r="AB516" s="202">
        <v>0</v>
      </c>
      <c r="AC516" s="202">
        <v>0</v>
      </c>
      <c r="AD516" s="202">
        <v>0</v>
      </c>
      <c r="AE516" s="228"/>
      <c r="AF516" s="240"/>
    </row>
    <row r="517" spans="1:32" s="203" customFormat="1">
      <c r="A517" s="286" t="s">
        <v>133</v>
      </c>
      <c r="B517" s="287" t="s">
        <v>631</v>
      </c>
      <c r="C517" s="286">
        <v>228787</v>
      </c>
      <c r="D517" s="250">
        <v>1</v>
      </c>
      <c r="E517" s="225">
        <f t="shared" si="30"/>
        <v>239842</v>
      </c>
      <c r="F517" s="229">
        <f t="shared" si="31"/>
        <v>243047</v>
      </c>
      <c r="G517" s="226">
        <v>238553</v>
      </c>
      <c r="H517" s="201">
        <v>241380</v>
      </c>
      <c r="I517" s="226">
        <v>290</v>
      </c>
      <c r="J517" s="201">
        <v>325</v>
      </c>
      <c r="K517" s="228">
        <v>999</v>
      </c>
      <c r="L517" s="228">
        <v>0</v>
      </c>
      <c r="M517" s="228">
        <v>0</v>
      </c>
      <c r="N517" s="202">
        <v>1342</v>
      </c>
      <c r="O517" s="202">
        <v>0</v>
      </c>
      <c r="P517" s="202">
        <v>0</v>
      </c>
      <c r="Q517" s="228"/>
      <c r="R517" s="201"/>
      <c r="S517" s="225">
        <f t="shared" si="32"/>
        <v>86719</v>
      </c>
      <c r="T517" s="229">
        <f t="shared" si="33"/>
        <v>95174</v>
      </c>
      <c r="U517" s="226">
        <v>76563</v>
      </c>
      <c r="V517" s="201">
        <v>82954</v>
      </c>
      <c r="W517" s="226">
        <v>382</v>
      </c>
      <c r="X517" s="201">
        <v>465</v>
      </c>
      <c r="Y517" s="228">
        <v>9774</v>
      </c>
      <c r="Z517" s="228">
        <v>0</v>
      </c>
      <c r="AA517" s="228">
        <v>0</v>
      </c>
      <c r="AB517" s="202">
        <v>11755</v>
      </c>
      <c r="AC517" s="202">
        <v>0</v>
      </c>
      <c r="AD517" s="202">
        <v>0</v>
      </c>
      <c r="AE517" s="228"/>
      <c r="AF517" s="240"/>
    </row>
    <row r="518" spans="1:32" s="203" customFormat="1">
      <c r="A518" s="286" t="s">
        <v>133</v>
      </c>
      <c r="B518" s="287" t="s">
        <v>632</v>
      </c>
      <c r="C518" s="286">
        <v>229179</v>
      </c>
      <c r="D518" s="250">
        <v>2</v>
      </c>
      <c r="E518" s="225">
        <f t="shared" ref="E518:E581" si="34">SUM(G518,I518,K518,L518,M518,Q518)</f>
        <v>182053</v>
      </c>
      <c r="F518" s="229">
        <f t="shared" ref="F518:F581" si="35">SUM(H518,J518,N518,O518,P518,R518)</f>
        <v>189280</v>
      </c>
      <c r="G518" s="226">
        <v>151872</v>
      </c>
      <c r="H518" s="201">
        <v>149696</v>
      </c>
      <c r="I518" s="226">
        <v>1225</v>
      </c>
      <c r="J518" s="201">
        <v>1932</v>
      </c>
      <c r="K518" s="228">
        <v>28956</v>
      </c>
      <c r="L518" s="228">
        <v>0</v>
      </c>
      <c r="M518" s="228">
        <v>0</v>
      </c>
      <c r="N518" s="202">
        <v>37652</v>
      </c>
      <c r="O518" s="202">
        <v>0</v>
      </c>
      <c r="P518" s="202">
        <v>0</v>
      </c>
      <c r="Q518" s="228"/>
      <c r="R518" s="201"/>
      <c r="S518" s="225">
        <f t="shared" ref="S518:S581" si="36">SUM(U518,W518,Y518,Z518,AA518,AE518)</f>
        <v>88062</v>
      </c>
      <c r="T518" s="229">
        <f t="shared" ref="T518:T581" si="37">SUM(V518,X518,AB518,AC518,AD518,AF518)</f>
        <v>87426</v>
      </c>
      <c r="U518" s="226">
        <v>48326</v>
      </c>
      <c r="V518" s="201">
        <v>46769</v>
      </c>
      <c r="W518" s="226">
        <v>1290</v>
      </c>
      <c r="X518" s="201">
        <v>1779</v>
      </c>
      <c r="Y518" s="228">
        <v>37446</v>
      </c>
      <c r="Z518" s="228">
        <v>1000</v>
      </c>
      <c r="AA518" s="228">
        <v>0</v>
      </c>
      <c r="AB518" s="202">
        <v>38145</v>
      </c>
      <c r="AC518" s="202">
        <v>733</v>
      </c>
      <c r="AD518" s="202">
        <v>0</v>
      </c>
      <c r="AE518" s="228"/>
      <c r="AF518" s="240"/>
    </row>
    <row r="519" spans="1:32" s="203" customFormat="1">
      <c r="A519" s="286" t="s">
        <v>133</v>
      </c>
      <c r="B519" s="285" t="s">
        <v>648</v>
      </c>
      <c r="C519" s="286">
        <v>228796</v>
      </c>
      <c r="D519" s="405">
        <v>2</v>
      </c>
      <c r="E519" s="225">
        <f t="shared" si="34"/>
        <v>399817</v>
      </c>
      <c r="F519" s="229">
        <f t="shared" si="35"/>
        <v>406988</v>
      </c>
      <c r="G519" s="226">
        <v>389286</v>
      </c>
      <c r="H519" s="201">
        <v>394361</v>
      </c>
      <c r="I519" s="226">
        <v>5264</v>
      </c>
      <c r="J519" s="201">
        <v>4465</v>
      </c>
      <c r="K519" s="228">
        <v>5267</v>
      </c>
      <c r="L519" s="228">
        <v>0</v>
      </c>
      <c r="M519" s="228">
        <v>0</v>
      </c>
      <c r="N519" s="202">
        <v>8162</v>
      </c>
      <c r="O519" s="202">
        <v>0</v>
      </c>
      <c r="P519" s="202">
        <v>0</v>
      </c>
      <c r="Q519" s="228"/>
      <c r="R519" s="201"/>
      <c r="S519" s="225">
        <f t="shared" si="36"/>
        <v>47373</v>
      </c>
      <c r="T519" s="229">
        <f t="shared" si="37"/>
        <v>50383</v>
      </c>
      <c r="U519" s="226">
        <v>41346</v>
      </c>
      <c r="V519" s="201">
        <v>43667</v>
      </c>
      <c r="W519" s="226">
        <v>1166</v>
      </c>
      <c r="X519" s="201">
        <v>1643</v>
      </c>
      <c r="Y519" s="228">
        <v>4861</v>
      </c>
      <c r="Z519" s="228">
        <v>0</v>
      </c>
      <c r="AA519" s="228">
        <v>0</v>
      </c>
      <c r="AB519" s="202">
        <v>5073</v>
      </c>
      <c r="AC519" s="202">
        <v>0</v>
      </c>
      <c r="AD519" s="202">
        <v>0</v>
      </c>
      <c r="AE519" s="228"/>
      <c r="AF519" s="240"/>
    </row>
    <row r="520" spans="1:32" s="203" customFormat="1">
      <c r="A520" s="286" t="s">
        <v>133</v>
      </c>
      <c r="B520" s="287" t="s">
        <v>634</v>
      </c>
      <c r="C520" s="286">
        <v>222831</v>
      </c>
      <c r="D520" s="250">
        <v>3</v>
      </c>
      <c r="E520" s="225">
        <f t="shared" si="34"/>
        <v>150781</v>
      </c>
      <c r="F520" s="229">
        <f t="shared" si="35"/>
        <v>146437</v>
      </c>
      <c r="G520" s="226">
        <v>144664</v>
      </c>
      <c r="H520" s="201">
        <v>140020</v>
      </c>
      <c r="I520" s="226">
        <v>246</v>
      </c>
      <c r="J520" s="201">
        <v>300</v>
      </c>
      <c r="K520" s="228">
        <v>5870</v>
      </c>
      <c r="L520" s="228">
        <v>0</v>
      </c>
      <c r="M520" s="228">
        <v>1</v>
      </c>
      <c r="N520" s="202">
        <v>6116</v>
      </c>
      <c r="O520" s="202">
        <v>0</v>
      </c>
      <c r="P520" s="202">
        <v>1</v>
      </c>
      <c r="Q520" s="228"/>
      <c r="R520" s="201"/>
      <c r="S520" s="225">
        <f t="shared" si="36"/>
        <v>8132</v>
      </c>
      <c r="T520" s="229">
        <f t="shared" si="37"/>
        <v>9563</v>
      </c>
      <c r="U520" s="226">
        <v>6841</v>
      </c>
      <c r="V520" s="201">
        <v>6856</v>
      </c>
      <c r="W520" s="226">
        <v>0</v>
      </c>
      <c r="X520" s="201">
        <v>0</v>
      </c>
      <c r="Y520" s="228">
        <v>1291</v>
      </c>
      <c r="Z520" s="228">
        <v>0</v>
      </c>
      <c r="AA520" s="228">
        <v>0</v>
      </c>
      <c r="AB520" s="202">
        <v>2707</v>
      </c>
      <c r="AC520" s="202">
        <v>0</v>
      </c>
      <c r="AD520" s="202">
        <v>0</v>
      </c>
      <c r="AE520" s="228"/>
      <c r="AF520" s="240"/>
    </row>
    <row r="521" spans="1:32" s="203" customFormat="1">
      <c r="A521" s="286" t="s">
        <v>133</v>
      </c>
      <c r="B521" s="287" t="s">
        <v>635</v>
      </c>
      <c r="C521" s="286">
        <v>226091</v>
      </c>
      <c r="D521" s="250">
        <v>3</v>
      </c>
      <c r="E521" s="225">
        <f t="shared" si="34"/>
        <v>217838</v>
      </c>
      <c r="F521" s="229">
        <f t="shared" si="35"/>
        <v>214319</v>
      </c>
      <c r="G521" s="226">
        <v>200863</v>
      </c>
      <c r="H521" s="201">
        <v>192738</v>
      </c>
      <c r="I521" s="226">
        <v>3403</v>
      </c>
      <c r="J521" s="201">
        <v>3940</v>
      </c>
      <c r="K521" s="228">
        <v>10079</v>
      </c>
      <c r="L521" s="228">
        <v>2281</v>
      </c>
      <c r="M521" s="228">
        <v>1212</v>
      </c>
      <c r="N521" s="202">
        <v>15379</v>
      </c>
      <c r="O521" s="202">
        <v>1908</v>
      </c>
      <c r="P521" s="202">
        <v>354</v>
      </c>
      <c r="Q521" s="228"/>
      <c r="R521" s="201"/>
      <c r="S521" s="225">
        <f t="shared" si="36"/>
        <v>25604</v>
      </c>
      <c r="T521" s="229">
        <f t="shared" si="37"/>
        <v>78352</v>
      </c>
      <c r="U521" s="226">
        <v>22798</v>
      </c>
      <c r="V521" s="201">
        <v>23492</v>
      </c>
      <c r="W521" s="226">
        <v>3</v>
      </c>
      <c r="X521" s="201">
        <v>87</v>
      </c>
      <c r="Y521" s="228">
        <v>937</v>
      </c>
      <c r="Z521" s="228">
        <v>3</v>
      </c>
      <c r="AA521" s="228">
        <v>1863</v>
      </c>
      <c r="AB521" s="202">
        <v>1088</v>
      </c>
      <c r="AC521" s="202">
        <v>0</v>
      </c>
      <c r="AD521" s="202">
        <v>53685</v>
      </c>
      <c r="AE521" s="228"/>
      <c r="AF521" s="240"/>
    </row>
    <row r="522" spans="1:32" s="203" customFormat="1">
      <c r="A522" s="286" t="s">
        <v>133</v>
      </c>
      <c r="B522" s="287" t="s">
        <v>636</v>
      </c>
      <c r="C522" s="286">
        <v>226833</v>
      </c>
      <c r="D522" s="250">
        <v>3</v>
      </c>
      <c r="E522" s="225">
        <f t="shared" si="34"/>
        <v>136923</v>
      </c>
      <c r="F522" s="229">
        <f t="shared" si="35"/>
        <v>134099</v>
      </c>
      <c r="G522" s="226">
        <v>120917</v>
      </c>
      <c r="H522" s="201">
        <v>117724</v>
      </c>
      <c r="I522" s="226">
        <v>1194</v>
      </c>
      <c r="J522" s="201">
        <v>1953</v>
      </c>
      <c r="K522" s="228">
        <v>13786</v>
      </c>
      <c r="L522" s="228">
        <v>0</v>
      </c>
      <c r="M522" s="228">
        <v>1026</v>
      </c>
      <c r="N522" s="202">
        <v>14287</v>
      </c>
      <c r="O522" s="202">
        <v>0</v>
      </c>
      <c r="P522" s="202">
        <v>135</v>
      </c>
      <c r="Q522" s="228"/>
      <c r="R522" s="201"/>
      <c r="S522" s="225">
        <f t="shared" si="36"/>
        <v>8740</v>
      </c>
      <c r="T522" s="229">
        <f t="shared" si="37"/>
        <v>8979</v>
      </c>
      <c r="U522" s="226">
        <v>6867</v>
      </c>
      <c r="V522" s="201">
        <v>6941</v>
      </c>
      <c r="W522" s="226">
        <v>168</v>
      </c>
      <c r="X522" s="201">
        <v>168</v>
      </c>
      <c r="Y522" s="228">
        <v>1279</v>
      </c>
      <c r="Z522" s="228">
        <v>426</v>
      </c>
      <c r="AA522" s="228">
        <v>0</v>
      </c>
      <c r="AB522" s="202">
        <v>1546</v>
      </c>
      <c r="AC522" s="202">
        <v>324</v>
      </c>
      <c r="AD522" s="202">
        <v>0</v>
      </c>
      <c r="AE522" s="228"/>
      <c r="AF522" s="240"/>
    </row>
    <row r="523" spans="1:32" s="203" customFormat="1">
      <c r="A523" s="286" t="s">
        <v>133</v>
      </c>
      <c r="B523" s="287" t="s">
        <v>637</v>
      </c>
      <c r="C523" s="286">
        <v>227526</v>
      </c>
      <c r="D523" s="250">
        <v>3</v>
      </c>
      <c r="E523" s="225">
        <f t="shared" si="34"/>
        <v>166547</v>
      </c>
      <c r="F523" s="229">
        <f t="shared" si="35"/>
        <v>170676</v>
      </c>
      <c r="G523" s="226">
        <v>156488</v>
      </c>
      <c r="H523" s="201">
        <v>158705</v>
      </c>
      <c r="I523" s="226">
        <v>9077</v>
      </c>
      <c r="J523" s="201">
        <v>10963</v>
      </c>
      <c r="K523" s="228">
        <v>801</v>
      </c>
      <c r="L523" s="228">
        <v>181</v>
      </c>
      <c r="M523" s="228">
        <v>0</v>
      </c>
      <c r="N523" s="202">
        <v>702</v>
      </c>
      <c r="O523" s="202">
        <v>306</v>
      </c>
      <c r="P523" s="202">
        <v>0</v>
      </c>
      <c r="Q523" s="228"/>
      <c r="R523" s="201"/>
      <c r="S523" s="225">
        <f t="shared" si="36"/>
        <v>40620</v>
      </c>
      <c r="T523" s="229">
        <f t="shared" si="37"/>
        <v>37396</v>
      </c>
      <c r="U523" s="226">
        <v>23857</v>
      </c>
      <c r="V523" s="201">
        <v>20768</v>
      </c>
      <c r="W523" s="226">
        <v>12029</v>
      </c>
      <c r="X523" s="201">
        <v>7457</v>
      </c>
      <c r="Y523" s="228">
        <v>2394</v>
      </c>
      <c r="Z523" s="228">
        <v>2340</v>
      </c>
      <c r="AA523" s="228">
        <v>0</v>
      </c>
      <c r="AB523" s="202">
        <v>7215</v>
      </c>
      <c r="AC523" s="202">
        <v>1956</v>
      </c>
      <c r="AD523" s="202">
        <v>0</v>
      </c>
      <c r="AE523" s="228"/>
      <c r="AF523" s="240"/>
    </row>
    <row r="524" spans="1:32" s="203" customFormat="1">
      <c r="A524" s="286" t="s">
        <v>133</v>
      </c>
      <c r="B524" s="287" t="s">
        <v>638</v>
      </c>
      <c r="C524" s="286">
        <v>227881</v>
      </c>
      <c r="D524" s="250">
        <v>3</v>
      </c>
      <c r="E524" s="225">
        <f t="shared" si="34"/>
        <v>393574</v>
      </c>
      <c r="F524" s="229">
        <f t="shared" si="35"/>
        <v>398130</v>
      </c>
      <c r="G524" s="226">
        <v>367590</v>
      </c>
      <c r="H524" s="201">
        <v>376906</v>
      </c>
      <c r="I524" s="226">
        <v>18420</v>
      </c>
      <c r="J524" s="201">
        <v>18944</v>
      </c>
      <c r="K524" s="228">
        <v>7558</v>
      </c>
      <c r="L524" s="228">
        <v>6</v>
      </c>
      <c r="M524" s="228">
        <v>0</v>
      </c>
      <c r="N524" s="202">
        <v>2280</v>
      </c>
      <c r="O524" s="202">
        <v>0</v>
      </c>
      <c r="P524" s="202">
        <v>0</v>
      </c>
      <c r="Q524" s="228"/>
      <c r="R524" s="201"/>
      <c r="S524" s="225">
        <f t="shared" si="36"/>
        <v>37189</v>
      </c>
      <c r="T524" s="229">
        <f t="shared" si="37"/>
        <v>38178</v>
      </c>
      <c r="U524" s="226">
        <v>14534</v>
      </c>
      <c r="V524" s="201">
        <v>15902</v>
      </c>
      <c r="W524" s="226">
        <v>11529</v>
      </c>
      <c r="X524" s="201">
        <v>9128</v>
      </c>
      <c r="Y524" s="228">
        <v>10811</v>
      </c>
      <c r="Z524" s="228">
        <v>315</v>
      </c>
      <c r="AA524" s="228">
        <v>0</v>
      </c>
      <c r="AB524" s="202">
        <v>12896</v>
      </c>
      <c r="AC524" s="202">
        <v>252</v>
      </c>
      <c r="AD524" s="202">
        <v>0</v>
      </c>
      <c r="AE524" s="228"/>
      <c r="AF524" s="240"/>
    </row>
    <row r="525" spans="1:32" s="203" customFormat="1">
      <c r="A525" s="286" t="s">
        <v>133</v>
      </c>
      <c r="B525" s="287" t="s">
        <v>639</v>
      </c>
      <c r="C525" s="286">
        <v>228431</v>
      </c>
      <c r="D525" s="250">
        <v>3</v>
      </c>
      <c r="E525" s="225">
        <f t="shared" si="34"/>
        <v>284625</v>
      </c>
      <c r="F525" s="229">
        <f t="shared" si="35"/>
        <v>283964</v>
      </c>
      <c r="G525" s="226">
        <v>263148</v>
      </c>
      <c r="H525" s="201">
        <v>256846</v>
      </c>
      <c r="I525" s="226">
        <v>6132</v>
      </c>
      <c r="J525" s="201">
        <v>6118</v>
      </c>
      <c r="K525" s="228">
        <v>15318</v>
      </c>
      <c r="L525" s="228">
        <v>9</v>
      </c>
      <c r="M525" s="228">
        <v>18</v>
      </c>
      <c r="N525" s="202">
        <v>20979</v>
      </c>
      <c r="O525" s="202">
        <v>21</v>
      </c>
      <c r="P525" s="202">
        <v>0</v>
      </c>
      <c r="Q525" s="228"/>
      <c r="R525" s="201"/>
      <c r="S525" s="225">
        <f t="shared" si="36"/>
        <v>25458</v>
      </c>
      <c r="T525" s="229">
        <f t="shared" si="37"/>
        <v>26956</v>
      </c>
      <c r="U525" s="226">
        <v>16358</v>
      </c>
      <c r="V525" s="201">
        <v>16611</v>
      </c>
      <c r="W525" s="226">
        <v>3242</v>
      </c>
      <c r="X525" s="201">
        <v>2577</v>
      </c>
      <c r="Y525" s="228">
        <v>5446</v>
      </c>
      <c r="Z525" s="228">
        <v>346</v>
      </c>
      <c r="AA525" s="228">
        <v>66</v>
      </c>
      <c r="AB525" s="202">
        <v>7440</v>
      </c>
      <c r="AC525" s="202">
        <v>235</v>
      </c>
      <c r="AD525" s="202">
        <v>93</v>
      </c>
      <c r="AE525" s="228"/>
      <c r="AF525" s="240"/>
    </row>
    <row r="526" spans="1:32" s="203" customFormat="1">
      <c r="A526" s="286" t="s">
        <v>133</v>
      </c>
      <c r="B526" s="287" t="s">
        <v>640</v>
      </c>
      <c r="C526" s="286">
        <v>228501</v>
      </c>
      <c r="D526" s="250">
        <v>3</v>
      </c>
      <c r="E526" s="225">
        <f t="shared" si="34"/>
        <v>35383</v>
      </c>
      <c r="F526" s="229">
        <f t="shared" si="35"/>
        <v>34002</v>
      </c>
      <c r="G526" s="226">
        <v>32539</v>
      </c>
      <c r="H526" s="201">
        <v>31115</v>
      </c>
      <c r="I526" s="226">
        <v>11</v>
      </c>
      <c r="J526" s="201">
        <v>2</v>
      </c>
      <c r="K526" s="228">
        <v>2665</v>
      </c>
      <c r="L526" s="228">
        <v>168</v>
      </c>
      <c r="M526" s="228">
        <v>0</v>
      </c>
      <c r="N526" s="202">
        <v>2423</v>
      </c>
      <c r="O526" s="202">
        <v>462</v>
      </c>
      <c r="P526" s="202">
        <v>0</v>
      </c>
      <c r="Q526" s="228"/>
      <c r="R526" s="201"/>
      <c r="S526" s="225">
        <f t="shared" si="36"/>
        <v>7910</v>
      </c>
      <c r="T526" s="229">
        <f t="shared" si="37"/>
        <v>8611</v>
      </c>
      <c r="U526" s="226">
        <v>4832</v>
      </c>
      <c r="V526" s="201">
        <v>4967</v>
      </c>
      <c r="W526" s="226">
        <v>0</v>
      </c>
      <c r="X526" s="201">
        <v>173</v>
      </c>
      <c r="Y526" s="228">
        <v>2673</v>
      </c>
      <c r="Z526" s="228">
        <v>405</v>
      </c>
      <c r="AA526" s="228">
        <v>0</v>
      </c>
      <c r="AB526" s="202">
        <v>3264</v>
      </c>
      <c r="AC526" s="202">
        <v>207</v>
      </c>
      <c r="AD526" s="202">
        <v>0</v>
      </c>
      <c r="AE526" s="228"/>
      <c r="AF526" s="240"/>
    </row>
    <row r="527" spans="1:32" s="203" customFormat="1">
      <c r="A527" s="286" t="s">
        <v>133</v>
      </c>
      <c r="B527" s="287" t="s">
        <v>641</v>
      </c>
      <c r="C527" s="286">
        <v>228529</v>
      </c>
      <c r="D527" s="250">
        <v>3</v>
      </c>
      <c r="E527" s="225">
        <f t="shared" si="34"/>
        <v>205689</v>
      </c>
      <c r="F527" s="229">
        <f t="shared" si="35"/>
        <v>202738</v>
      </c>
      <c r="G527" s="226">
        <v>165742</v>
      </c>
      <c r="H527" s="201">
        <v>158252</v>
      </c>
      <c r="I527" s="226">
        <v>28700</v>
      </c>
      <c r="J527" s="201">
        <v>32618</v>
      </c>
      <c r="K527" s="228">
        <v>7208</v>
      </c>
      <c r="L527" s="228">
        <v>4039</v>
      </c>
      <c r="M527" s="228">
        <v>0</v>
      </c>
      <c r="N527" s="202">
        <v>8901</v>
      </c>
      <c r="O527" s="202">
        <v>2967</v>
      </c>
      <c r="P527" s="202">
        <v>0</v>
      </c>
      <c r="Q527" s="228"/>
      <c r="R527" s="201"/>
      <c r="S527" s="225">
        <f t="shared" si="36"/>
        <v>27202</v>
      </c>
      <c r="T527" s="229">
        <f t="shared" si="37"/>
        <v>28130</v>
      </c>
      <c r="U527" s="226">
        <v>7106</v>
      </c>
      <c r="V527" s="201">
        <v>6814</v>
      </c>
      <c r="W527" s="226">
        <v>15650</v>
      </c>
      <c r="X527" s="201">
        <v>15590</v>
      </c>
      <c r="Y527" s="228">
        <v>4080</v>
      </c>
      <c r="Z527" s="228">
        <v>366</v>
      </c>
      <c r="AA527" s="228">
        <v>0</v>
      </c>
      <c r="AB527" s="202">
        <v>5351</v>
      </c>
      <c r="AC527" s="202">
        <v>375</v>
      </c>
      <c r="AD527" s="202">
        <v>0</v>
      </c>
      <c r="AE527" s="228"/>
      <c r="AF527" s="240"/>
    </row>
    <row r="528" spans="1:32" s="203" customFormat="1">
      <c r="A528" s="286" t="s">
        <v>133</v>
      </c>
      <c r="B528" s="287" t="s">
        <v>642</v>
      </c>
      <c r="C528" s="286">
        <v>224554</v>
      </c>
      <c r="D528" s="250">
        <v>3</v>
      </c>
      <c r="E528" s="225">
        <f t="shared" si="34"/>
        <v>138258</v>
      </c>
      <c r="F528" s="229">
        <f t="shared" si="35"/>
        <v>129976</v>
      </c>
      <c r="G528" s="226">
        <v>106186</v>
      </c>
      <c r="H528" s="201">
        <v>95384</v>
      </c>
      <c r="I528" s="226">
        <v>15625</v>
      </c>
      <c r="J528" s="201">
        <v>14559</v>
      </c>
      <c r="K528" s="228">
        <v>16009</v>
      </c>
      <c r="L528" s="228">
        <v>438</v>
      </c>
      <c r="M528" s="228">
        <v>0</v>
      </c>
      <c r="N528" s="202">
        <v>19622</v>
      </c>
      <c r="O528" s="202">
        <v>411</v>
      </c>
      <c r="P528" s="202">
        <v>0</v>
      </c>
      <c r="Q528" s="228"/>
      <c r="R528" s="201"/>
      <c r="S528" s="225">
        <f t="shared" si="36"/>
        <v>58769</v>
      </c>
      <c r="T528" s="229">
        <f t="shared" si="37"/>
        <v>62038</v>
      </c>
      <c r="U528" s="226">
        <v>19803</v>
      </c>
      <c r="V528" s="201">
        <v>18450</v>
      </c>
      <c r="W528" s="226">
        <v>20832</v>
      </c>
      <c r="X528" s="201">
        <v>19689</v>
      </c>
      <c r="Y528" s="228">
        <v>16175</v>
      </c>
      <c r="Z528" s="228">
        <v>1959</v>
      </c>
      <c r="AA528" s="228">
        <v>0</v>
      </c>
      <c r="AB528" s="202">
        <v>22753</v>
      </c>
      <c r="AC528" s="202">
        <v>1146</v>
      </c>
      <c r="AD528" s="202">
        <v>0</v>
      </c>
      <c r="AE528" s="228"/>
      <c r="AF528" s="240"/>
    </row>
    <row r="529" spans="1:32" s="203" customFormat="1">
      <c r="A529" s="286" t="s">
        <v>133</v>
      </c>
      <c r="B529" s="287" t="s">
        <v>643</v>
      </c>
      <c r="C529" s="286">
        <v>224147</v>
      </c>
      <c r="D529" s="250">
        <v>3</v>
      </c>
      <c r="E529" s="225">
        <f t="shared" si="34"/>
        <v>190134</v>
      </c>
      <c r="F529" s="229">
        <f t="shared" si="35"/>
        <v>187685</v>
      </c>
      <c r="G529" s="226">
        <v>185783</v>
      </c>
      <c r="H529" s="201">
        <v>187631</v>
      </c>
      <c r="I529" s="226">
        <v>80</v>
      </c>
      <c r="J529" s="201">
        <v>0</v>
      </c>
      <c r="K529" s="228">
        <v>3943</v>
      </c>
      <c r="L529" s="228">
        <v>328</v>
      </c>
      <c r="M529" s="228">
        <v>0</v>
      </c>
      <c r="N529" s="202">
        <v>54</v>
      </c>
      <c r="O529" s="202">
        <v>0</v>
      </c>
      <c r="P529" s="202">
        <v>0</v>
      </c>
      <c r="Q529" s="228"/>
      <c r="R529" s="201"/>
      <c r="S529" s="225">
        <f t="shared" si="36"/>
        <v>25616</v>
      </c>
      <c r="T529" s="229">
        <f t="shared" si="37"/>
        <v>25473</v>
      </c>
      <c r="U529" s="226">
        <v>23052</v>
      </c>
      <c r="V529" s="201">
        <v>25137</v>
      </c>
      <c r="W529" s="226">
        <v>0</v>
      </c>
      <c r="X529" s="201">
        <v>0</v>
      </c>
      <c r="Y529" s="228">
        <v>2564</v>
      </c>
      <c r="Z529" s="228">
        <v>0</v>
      </c>
      <c r="AA529" s="228">
        <v>0</v>
      </c>
      <c r="AB529" s="202">
        <v>336</v>
      </c>
      <c r="AC529" s="202">
        <v>0</v>
      </c>
      <c r="AD529" s="202">
        <v>0</v>
      </c>
      <c r="AE529" s="228"/>
      <c r="AF529" s="240"/>
    </row>
    <row r="530" spans="1:32" s="203" customFormat="1">
      <c r="A530" s="286" t="s">
        <v>133</v>
      </c>
      <c r="B530" s="287" t="s">
        <v>644</v>
      </c>
      <c r="C530" s="286">
        <v>228705</v>
      </c>
      <c r="D530" s="250">
        <v>3</v>
      </c>
      <c r="E530" s="225">
        <f t="shared" si="34"/>
        <v>128452</v>
      </c>
      <c r="F530" s="229">
        <f t="shared" si="35"/>
        <v>135720</v>
      </c>
      <c r="G530" s="226">
        <v>108111</v>
      </c>
      <c r="H530" s="201">
        <v>109346</v>
      </c>
      <c r="I530" s="226">
        <v>17554</v>
      </c>
      <c r="J530" s="201">
        <v>24398</v>
      </c>
      <c r="K530" s="228">
        <v>1308</v>
      </c>
      <c r="L530" s="228">
        <v>1479</v>
      </c>
      <c r="M530" s="228">
        <v>0</v>
      </c>
      <c r="N530" s="202">
        <v>939</v>
      </c>
      <c r="O530" s="202">
        <v>1037</v>
      </c>
      <c r="P530" s="202">
        <v>0</v>
      </c>
      <c r="Q530" s="228"/>
      <c r="R530" s="201"/>
      <c r="S530" s="225">
        <f t="shared" si="36"/>
        <v>29698</v>
      </c>
      <c r="T530" s="229">
        <f t="shared" si="37"/>
        <v>28944</v>
      </c>
      <c r="U530" s="226">
        <v>24514</v>
      </c>
      <c r="V530" s="201">
        <v>23856</v>
      </c>
      <c r="W530" s="226">
        <v>2334</v>
      </c>
      <c r="X530" s="201">
        <v>2262</v>
      </c>
      <c r="Y530" s="228">
        <v>2364</v>
      </c>
      <c r="Z530" s="228">
        <v>486</v>
      </c>
      <c r="AA530" s="228">
        <v>0</v>
      </c>
      <c r="AB530" s="202">
        <v>2469</v>
      </c>
      <c r="AC530" s="202">
        <v>357</v>
      </c>
      <c r="AD530" s="202">
        <v>0</v>
      </c>
      <c r="AE530" s="228"/>
      <c r="AF530" s="240"/>
    </row>
    <row r="531" spans="1:32" s="203" customFormat="1">
      <c r="A531" s="286" t="s">
        <v>133</v>
      </c>
      <c r="B531" s="287" t="s">
        <v>645</v>
      </c>
      <c r="C531" s="286">
        <v>229063</v>
      </c>
      <c r="D531" s="250">
        <v>3</v>
      </c>
      <c r="E531" s="225">
        <f t="shared" si="34"/>
        <v>198112</v>
      </c>
      <c r="F531" s="229">
        <f t="shared" si="35"/>
        <v>180763</v>
      </c>
      <c r="G531" s="226">
        <v>197746</v>
      </c>
      <c r="H531" s="201">
        <v>180517</v>
      </c>
      <c r="I531" s="226">
        <v>366</v>
      </c>
      <c r="J531" s="201">
        <v>246</v>
      </c>
      <c r="K531" s="228">
        <v>0</v>
      </c>
      <c r="L531" s="228">
        <v>0</v>
      </c>
      <c r="M531" s="228">
        <v>0</v>
      </c>
      <c r="N531" s="202">
        <v>0</v>
      </c>
      <c r="O531" s="202">
        <v>0</v>
      </c>
      <c r="P531" s="202">
        <v>0</v>
      </c>
      <c r="Q531" s="228"/>
      <c r="R531" s="201"/>
      <c r="S531" s="225">
        <f t="shared" si="36"/>
        <v>46495</v>
      </c>
      <c r="T531" s="229">
        <f t="shared" si="37"/>
        <v>44093</v>
      </c>
      <c r="U531" s="226">
        <v>46102</v>
      </c>
      <c r="V531" s="201">
        <v>43745</v>
      </c>
      <c r="W531" s="226">
        <v>393</v>
      </c>
      <c r="X531" s="201">
        <v>348</v>
      </c>
      <c r="Y531" s="228">
        <v>0</v>
      </c>
      <c r="Z531" s="228">
        <v>0</v>
      </c>
      <c r="AA531" s="228">
        <v>0</v>
      </c>
      <c r="AB531" s="202">
        <v>0</v>
      </c>
      <c r="AC531" s="202">
        <v>0</v>
      </c>
      <c r="AD531" s="202">
        <v>0</v>
      </c>
      <c r="AE531" s="228"/>
      <c r="AF531" s="240"/>
    </row>
    <row r="532" spans="1:32" s="203" customFormat="1">
      <c r="A532" s="286" t="s">
        <v>133</v>
      </c>
      <c r="B532" s="380" t="s">
        <v>646</v>
      </c>
      <c r="C532" s="286">
        <v>228459</v>
      </c>
      <c r="D532" s="250">
        <v>3</v>
      </c>
      <c r="E532" s="225">
        <f t="shared" si="34"/>
        <v>649376</v>
      </c>
      <c r="F532" s="229">
        <f t="shared" si="35"/>
        <v>661570</v>
      </c>
      <c r="G532" s="226">
        <v>624934</v>
      </c>
      <c r="H532" s="201">
        <v>636701</v>
      </c>
      <c r="I532" s="226">
        <v>18406</v>
      </c>
      <c r="J532" s="201">
        <v>18549</v>
      </c>
      <c r="K532" s="228">
        <v>5535</v>
      </c>
      <c r="L532" s="228">
        <v>30</v>
      </c>
      <c r="M532" s="228">
        <v>471</v>
      </c>
      <c r="N532" s="202">
        <v>5873</v>
      </c>
      <c r="O532" s="202">
        <v>114</v>
      </c>
      <c r="P532" s="202">
        <v>333</v>
      </c>
      <c r="Q532" s="228"/>
      <c r="R532" s="201"/>
      <c r="S532" s="225">
        <f t="shared" si="36"/>
        <v>62746</v>
      </c>
      <c r="T532" s="229">
        <f t="shared" si="37"/>
        <v>65817</v>
      </c>
      <c r="U532" s="226">
        <v>49342</v>
      </c>
      <c r="V532" s="201">
        <v>51428</v>
      </c>
      <c r="W532" s="226">
        <v>10392</v>
      </c>
      <c r="X532" s="201">
        <v>9872</v>
      </c>
      <c r="Y532" s="228">
        <v>2805</v>
      </c>
      <c r="Z532" s="228">
        <v>108</v>
      </c>
      <c r="AA532" s="228">
        <v>99</v>
      </c>
      <c r="AB532" s="202">
        <v>3815</v>
      </c>
      <c r="AC532" s="202">
        <v>645</v>
      </c>
      <c r="AD532" s="202">
        <v>57</v>
      </c>
      <c r="AE532" s="228"/>
      <c r="AF532" s="240"/>
    </row>
    <row r="533" spans="1:32" s="203" customFormat="1">
      <c r="A533" s="286" t="s">
        <v>133</v>
      </c>
      <c r="B533" s="287" t="s">
        <v>647</v>
      </c>
      <c r="C533" s="286">
        <v>225414</v>
      </c>
      <c r="D533" s="250">
        <v>3</v>
      </c>
      <c r="E533" s="225">
        <f t="shared" si="34"/>
        <v>92721</v>
      </c>
      <c r="F533" s="229">
        <f t="shared" si="35"/>
        <v>93022</v>
      </c>
      <c r="G533" s="226">
        <v>82431</v>
      </c>
      <c r="H533" s="201">
        <v>79042</v>
      </c>
      <c r="I533" s="226">
        <v>3582</v>
      </c>
      <c r="J533" s="201">
        <v>4392</v>
      </c>
      <c r="K533" s="228">
        <v>6708</v>
      </c>
      <c r="L533" s="228">
        <v>0</v>
      </c>
      <c r="M533" s="228">
        <v>0</v>
      </c>
      <c r="N533" s="202">
        <v>9588</v>
      </c>
      <c r="O533" s="202">
        <v>0</v>
      </c>
      <c r="P533" s="202">
        <v>0</v>
      </c>
      <c r="Q533" s="228"/>
      <c r="R533" s="201"/>
      <c r="S533" s="225">
        <f t="shared" si="36"/>
        <v>53921</v>
      </c>
      <c r="T533" s="229">
        <f t="shared" si="37"/>
        <v>54869</v>
      </c>
      <c r="U533" s="226">
        <v>34674</v>
      </c>
      <c r="V533" s="201">
        <v>34207</v>
      </c>
      <c r="W533" s="226">
        <v>7732</v>
      </c>
      <c r="X533" s="201">
        <v>7544</v>
      </c>
      <c r="Y533" s="228">
        <v>11515</v>
      </c>
      <c r="Z533" s="228">
        <v>0</v>
      </c>
      <c r="AA533" s="228">
        <v>0</v>
      </c>
      <c r="AB533" s="202">
        <v>13118</v>
      </c>
      <c r="AC533" s="202">
        <v>0</v>
      </c>
      <c r="AD533" s="202">
        <v>0</v>
      </c>
      <c r="AE533" s="228"/>
      <c r="AF533" s="240"/>
    </row>
    <row r="534" spans="1:32" s="203" customFormat="1">
      <c r="A534" s="286" t="s">
        <v>133</v>
      </c>
      <c r="B534" s="287" t="s">
        <v>649</v>
      </c>
      <c r="C534" s="286">
        <v>229027</v>
      </c>
      <c r="D534" s="250">
        <v>3</v>
      </c>
      <c r="E534" s="225">
        <f t="shared" si="34"/>
        <v>599784</v>
      </c>
      <c r="F534" s="229">
        <f t="shared" si="35"/>
        <v>606965</v>
      </c>
      <c r="G534" s="226">
        <v>579529</v>
      </c>
      <c r="H534" s="201">
        <v>587753</v>
      </c>
      <c r="I534" s="226">
        <v>2614</v>
      </c>
      <c r="J534" s="201">
        <v>2881</v>
      </c>
      <c r="K534" s="228">
        <v>11578</v>
      </c>
      <c r="L534" s="228">
        <v>6063</v>
      </c>
      <c r="M534" s="228">
        <v>0</v>
      </c>
      <c r="N534" s="202">
        <v>12044</v>
      </c>
      <c r="O534" s="202">
        <v>4287</v>
      </c>
      <c r="P534" s="202">
        <v>0</v>
      </c>
      <c r="Q534" s="228"/>
      <c r="R534" s="201"/>
      <c r="S534" s="225">
        <f t="shared" si="36"/>
        <v>54844</v>
      </c>
      <c r="T534" s="229">
        <f t="shared" si="37"/>
        <v>52808</v>
      </c>
      <c r="U534" s="226">
        <v>53154</v>
      </c>
      <c r="V534" s="201">
        <v>51552</v>
      </c>
      <c r="W534" s="226">
        <v>603</v>
      </c>
      <c r="X534" s="201">
        <v>510</v>
      </c>
      <c r="Y534" s="228">
        <v>754</v>
      </c>
      <c r="Z534" s="228">
        <v>333</v>
      </c>
      <c r="AA534" s="228">
        <v>0</v>
      </c>
      <c r="AB534" s="202">
        <v>701</v>
      </c>
      <c r="AC534" s="202">
        <v>45</v>
      </c>
      <c r="AD534" s="202">
        <v>0</v>
      </c>
      <c r="AE534" s="228"/>
      <c r="AF534" s="240"/>
    </row>
    <row r="535" spans="1:32" s="203" customFormat="1">
      <c r="A535" s="286" t="s">
        <v>133</v>
      </c>
      <c r="B535" s="287" t="s">
        <v>650</v>
      </c>
      <c r="C535" s="286">
        <v>228802</v>
      </c>
      <c r="D535" s="250">
        <v>3</v>
      </c>
      <c r="E535" s="225">
        <f t="shared" si="34"/>
        <v>128633</v>
      </c>
      <c r="F535" s="229">
        <f t="shared" si="35"/>
        <v>129912</v>
      </c>
      <c r="G535" s="226">
        <v>115195</v>
      </c>
      <c r="H535" s="201">
        <v>115166</v>
      </c>
      <c r="I535" s="226">
        <v>1654</v>
      </c>
      <c r="J535" s="201">
        <v>1769</v>
      </c>
      <c r="K535" s="228">
        <v>4223</v>
      </c>
      <c r="L535" s="228">
        <v>7561</v>
      </c>
      <c r="M535" s="228">
        <v>0</v>
      </c>
      <c r="N535" s="202">
        <v>5743</v>
      </c>
      <c r="O535" s="202">
        <v>7234</v>
      </c>
      <c r="P535" s="202">
        <v>0</v>
      </c>
      <c r="Q535" s="228"/>
      <c r="R535" s="201"/>
      <c r="S535" s="225">
        <f t="shared" si="36"/>
        <v>12938</v>
      </c>
      <c r="T535" s="229">
        <f t="shared" si="37"/>
        <v>13295</v>
      </c>
      <c r="U535" s="226">
        <v>8657</v>
      </c>
      <c r="V535" s="201">
        <v>9005</v>
      </c>
      <c r="W535" s="226">
        <v>369</v>
      </c>
      <c r="X535" s="201">
        <v>444</v>
      </c>
      <c r="Y535" s="228">
        <v>3459</v>
      </c>
      <c r="Z535" s="228">
        <v>453</v>
      </c>
      <c r="AA535" s="228">
        <v>0</v>
      </c>
      <c r="AB535" s="202">
        <v>3507</v>
      </c>
      <c r="AC535" s="202">
        <v>339</v>
      </c>
      <c r="AD535" s="202">
        <v>0</v>
      </c>
      <c r="AE535" s="228"/>
      <c r="AF535" s="240"/>
    </row>
    <row r="536" spans="1:32" s="203" customFormat="1">
      <c r="A536" s="286" t="s">
        <v>133</v>
      </c>
      <c r="B536" s="287" t="s">
        <v>651</v>
      </c>
      <c r="C536" s="286">
        <v>227368</v>
      </c>
      <c r="D536" s="250">
        <v>3</v>
      </c>
      <c r="E536" s="225">
        <f t="shared" si="34"/>
        <v>409206</v>
      </c>
      <c r="F536" s="229">
        <f t="shared" si="35"/>
        <v>408050</v>
      </c>
      <c r="G536" s="226">
        <v>397734</v>
      </c>
      <c r="H536" s="201">
        <v>390138</v>
      </c>
      <c r="I536" s="226">
        <v>2022</v>
      </c>
      <c r="J536" s="201">
        <v>3444</v>
      </c>
      <c r="K536" s="228">
        <v>8982</v>
      </c>
      <c r="L536" s="228">
        <v>468</v>
      </c>
      <c r="M536" s="228">
        <v>0</v>
      </c>
      <c r="N536" s="202">
        <v>14189</v>
      </c>
      <c r="O536" s="202">
        <v>279</v>
      </c>
      <c r="P536" s="202">
        <v>0</v>
      </c>
      <c r="Q536" s="228"/>
      <c r="R536" s="201"/>
      <c r="S536" s="225">
        <f t="shared" si="36"/>
        <v>35362</v>
      </c>
      <c r="T536" s="229">
        <f t="shared" si="37"/>
        <v>36439</v>
      </c>
      <c r="U536" s="226">
        <v>31147</v>
      </c>
      <c r="V536" s="201">
        <v>33225</v>
      </c>
      <c r="W536" s="226">
        <v>0</v>
      </c>
      <c r="X536" s="201">
        <v>0</v>
      </c>
      <c r="Y536" s="228">
        <v>4215</v>
      </c>
      <c r="Z536" s="228">
        <v>0</v>
      </c>
      <c r="AA536" s="228">
        <v>0</v>
      </c>
      <c r="AB536" s="202">
        <v>3214</v>
      </c>
      <c r="AC536" s="202">
        <v>0</v>
      </c>
      <c r="AD536" s="202">
        <v>0</v>
      </c>
      <c r="AE536" s="228"/>
      <c r="AF536" s="240"/>
    </row>
    <row r="537" spans="1:32" s="203" customFormat="1">
      <c r="A537" s="286" t="s">
        <v>133</v>
      </c>
      <c r="B537" s="287" t="s">
        <v>652</v>
      </c>
      <c r="C537" s="286">
        <v>229814</v>
      </c>
      <c r="D537" s="250">
        <v>3</v>
      </c>
      <c r="E537" s="225">
        <f t="shared" si="34"/>
        <v>155411</v>
      </c>
      <c r="F537" s="229">
        <f t="shared" si="35"/>
        <v>156933</v>
      </c>
      <c r="G537" s="226">
        <v>128964</v>
      </c>
      <c r="H537" s="201">
        <v>130067</v>
      </c>
      <c r="I537" s="226">
        <v>36</v>
      </c>
      <c r="J537" s="201">
        <v>216</v>
      </c>
      <c r="K537" s="228">
        <v>26411</v>
      </c>
      <c r="L537" s="228">
        <v>0</v>
      </c>
      <c r="M537" s="228">
        <v>0</v>
      </c>
      <c r="N537" s="202">
        <v>26650</v>
      </c>
      <c r="O537" s="202">
        <v>0</v>
      </c>
      <c r="P537" s="202">
        <v>0</v>
      </c>
      <c r="Q537" s="228"/>
      <c r="R537" s="201"/>
      <c r="S537" s="225">
        <f t="shared" si="36"/>
        <v>22534</v>
      </c>
      <c r="T537" s="229">
        <f t="shared" si="37"/>
        <v>20354</v>
      </c>
      <c r="U537" s="226">
        <v>13718</v>
      </c>
      <c r="V537" s="201">
        <v>11545</v>
      </c>
      <c r="W537" s="226">
        <v>627</v>
      </c>
      <c r="X537" s="201">
        <v>393</v>
      </c>
      <c r="Y537" s="228">
        <v>8189</v>
      </c>
      <c r="Z537" s="228">
        <v>0</v>
      </c>
      <c r="AA537" s="228">
        <v>0</v>
      </c>
      <c r="AB537" s="202">
        <v>8416</v>
      </c>
      <c r="AC537" s="202">
        <v>0</v>
      </c>
      <c r="AD537" s="202">
        <v>0</v>
      </c>
      <c r="AE537" s="228"/>
      <c r="AF537" s="240"/>
    </row>
    <row r="538" spans="1:32" s="203" customFormat="1">
      <c r="A538" s="286" t="s">
        <v>133</v>
      </c>
      <c r="B538" s="287" t="s">
        <v>653</v>
      </c>
      <c r="C538" s="286">
        <v>224545</v>
      </c>
      <c r="D538" s="250">
        <v>4</v>
      </c>
      <c r="E538" s="225">
        <f t="shared" si="34"/>
        <v>22448</v>
      </c>
      <c r="F538" s="229">
        <f t="shared" si="35"/>
        <v>22879</v>
      </c>
      <c r="G538" s="226">
        <v>15374</v>
      </c>
      <c r="H538" s="201">
        <v>16026</v>
      </c>
      <c r="I538" s="226">
        <v>3750</v>
      </c>
      <c r="J538" s="201">
        <v>3348</v>
      </c>
      <c r="K538" s="228">
        <v>3156</v>
      </c>
      <c r="L538" s="228">
        <v>168</v>
      </c>
      <c r="M538" s="228">
        <v>0</v>
      </c>
      <c r="N538" s="202">
        <v>3291</v>
      </c>
      <c r="O538" s="202">
        <v>214</v>
      </c>
      <c r="P538" s="202">
        <v>0</v>
      </c>
      <c r="Q538" s="228"/>
      <c r="R538" s="201"/>
      <c r="S538" s="225">
        <f t="shared" si="36"/>
        <v>9093</v>
      </c>
      <c r="T538" s="229">
        <f t="shared" si="37"/>
        <v>9259</v>
      </c>
      <c r="U538" s="226">
        <v>6672</v>
      </c>
      <c r="V538" s="201">
        <v>6532</v>
      </c>
      <c r="W538" s="226">
        <v>507</v>
      </c>
      <c r="X538" s="201">
        <v>864</v>
      </c>
      <c r="Y538" s="228">
        <v>1914</v>
      </c>
      <c r="Z538" s="228">
        <v>0</v>
      </c>
      <c r="AA538" s="228">
        <v>0</v>
      </c>
      <c r="AB538" s="202">
        <v>1863</v>
      </c>
      <c r="AC538" s="202">
        <v>0</v>
      </c>
      <c r="AD538" s="202">
        <v>0</v>
      </c>
      <c r="AE538" s="228"/>
      <c r="AF538" s="240"/>
    </row>
    <row r="539" spans="1:32" s="203" customFormat="1">
      <c r="A539" s="286" t="s">
        <v>133</v>
      </c>
      <c r="B539" s="287" t="s">
        <v>654</v>
      </c>
      <c r="C539" s="286">
        <v>226152</v>
      </c>
      <c r="D539" s="250">
        <v>4</v>
      </c>
      <c r="E539" s="225">
        <f t="shared" si="34"/>
        <v>99950</v>
      </c>
      <c r="F539" s="229">
        <f t="shared" si="35"/>
        <v>109640</v>
      </c>
      <c r="G539" s="226">
        <v>94842</v>
      </c>
      <c r="H539" s="201">
        <v>103760</v>
      </c>
      <c r="I539" s="226">
        <v>0</v>
      </c>
      <c r="J539" s="201">
        <v>0</v>
      </c>
      <c r="K539" s="228">
        <v>5030</v>
      </c>
      <c r="L539" s="228">
        <v>78</v>
      </c>
      <c r="M539" s="228">
        <v>0</v>
      </c>
      <c r="N539" s="202">
        <v>5880</v>
      </c>
      <c r="O539" s="202">
        <v>0</v>
      </c>
      <c r="P539" s="202">
        <v>0</v>
      </c>
      <c r="Q539" s="228"/>
      <c r="R539" s="201"/>
      <c r="S539" s="225">
        <f t="shared" si="36"/>
        <v>14959</v>
      </c>
      <c r="T539" s="229">
        <f t="shared" si="37"/>
        <v>15474</v>
      </c>
      <c r="U539" s="226">
        <v>12441</v>
      </c>
      <c r="V539" s="201">
        <v>11985</v>
      </c>
      <c r="W539" s="226">
        <v>0</v>
      </c>
      <c r="X539" s="201">
        <v>0</v>
      </c>
      <c r="Y539" s="228">
        <v>2299</v>
      </c>
      <c r="Z539" s="228">
        <v>219</v>
      </c>
      <c r="AA539" s="228">
        <v>0</v>
      </c>
      <c r="AB539" s="202">
        <v>3393</v>
      </c>
      <c r="AC539" s="202">
        <v>96</v>
      </c>
      <c r="AD539" s="202">
        <v>0</v>
      </c>
      <c r="AE539" s="228"/>
      <c r="AF539" s="240"/>
    </row>
    <row r="540" spans="1:32" s="203" customFormat="1">
      <c r="A540" s="286" t="s">
        <v>133</v>
      </c>
      <c r="B540" s="287" t="s">
        <v>655</v>
      </c>
      <c r="C540" s="286">
        <v>227377</v>
      </c>
      <c r="D540" s="250">
        <v>4</v>
      </c>
      <c r="E540" s="225">
        <f t="shared" si="34"/>
        <v>75777</v>
      </c>
      <c r="F540" s="229">
        <f t="shared" si="35"/>
        <v>87159</v>
      </c>
      <c r="G540" s="226">
        <v>63885</v>
      </c>
      <c r="H540" s="201">
        <v>75373</v>
      </c>
      <c r="I540" s="226">
        <v>991</v>
      </c>
      <c r="J540" s="201">
        <v>0</v>
      </c>
      <c r="K540" s="228">
        <v>10901</v>
      </c>
      <c r="L540" s="228">
        <v>0</v>
      </c>
      <c r="M540" s="228">
        <v>0</v>
      </c>
      <c r="N540" s="202">
        <v>11786</v>
      </c>
      <c r="O540" s="202">
        <v>0</v>
      </c>
      <c r="P540" s="202">
        <v>0</v>
      </c>
      <c r="Q540" s="228"/>
      <c r="R540" s="201"/>
      <c r="S540" s="225">
        <f t="shared" si="36"/>
        <v>10086</v>
      </c>
      <c r="T540" s="229">
        <f t="shared" si="37"/>
        <v>10763</v>
      </c>
      <c r="U540" s="226">
        <v>8160</v>
      </c>
      <c r="V540" s="201">
        <v>8942</v>
      </c>
      <c r="W540" s="226">
        <v>0</v>
      </c>
      <c r="X540" s="201">
        <v>0</v>
      </c>
      <c r="Y540" s="228">
        <v>1926</v>
      </c>
      <c r="Z540" s="228">
        <v>0</v>
      </c>
      <c r="AA540" s="228">
        <v>0</v>
      </c>
      <c r="AB540" s="202">
        <v>1821</v>
      </c>
      <c r="AC540" s="202">
        <v>0</v>
      </c>
      <c r="AD540" s="202">
        <v>0</v>
      </c>
      <c r="AE540" s="228"/>
      <c r="AF540" s="240"/>
    </row>
    <row r="541" spans="1:32" s="203" customFormat="1">
      <c r="A541" s="286" t="s">
        <v>133</v>
      </c>
      <c r="B541" s="287" t="s">
        <v>656</v>
      </c>
      <c r="C541" s="286">
        <v>229018</v>
      </c>
      <c r="D541" s="250">
        <v>4</v>
      </c>
      <c r="E541" s="225">
        <f t="shared" si="34"/>
        <v>69268</v>
      </c>
      <c r="F541" s="229">
        <f t="shared" si="35"/>
        <v>68300</v>
      </c>
      <c r="G541" s="226">
        <v>57593</v>
      </c>
      <c r="H541" s="201">
        <v>57568</v>
      </c>
      <c r="I541" s="226">
        <v>1542</v>
      </c>
      <c r="J541" s="201">
        <v>1230</v>
      </c>
      <c r="K541" s="228">
        <v>9992</v>
      </c>
      <c r="L541" s="228">
        <v>141</v>
      </c>
      <c r="M541" s="228">
        <v>0</v>
      </c>
      <c r="N541" s="202">
        <v>9019</v>
      </c>
      <c r="O541" s="202">
        <v>483</v>
      </c>
      <c r="P541" s="202">
        <v>0</v>
      </c>
      <c r="Q541" s="228"/>
      <c r="R541" s="201"/>
      <c r="S541" s="225">
        <f t="shared" si="36"/>
        <v>8433</v>
      </c>
      <c r="T541" s="229">
        <f t="shared" si="37"/>
        <v>9747</v>
      </c>
      <c r="U541" s="226">
        <v>5400</v>
      </c>
      <c r="V541" s="201">
        <v>6420</v>
      </c>
      <c r="W541" s="226">
        <v>117</v>
      </c>
      <c r="X541" s="201">
        <v>105</v>
      </c>
      <c r="Y541" s="228">
        <v>2916</v>
      </c>
      <c r="Z541" s="228">
        <v>0</v>
      </c>
      <c r="AA541" s="228">
        <v>0</v>
      </c>
      <c r="AB541" s="202">
        <v>3222</v>
      </c>
      <c r="AC541" s="202">
        <v>0</v>
      </c>
      <c r="AD541" s="202">
        <v>0</v>
      </c>
      <c r="AE541" s="228"/>
      <c r="AF541" s="240"/>
    </row>
    <row r="542" spans="1:32" s="203" customFormat="1">
      <c r="A542" s="286" t="s">
        <v>133</v>
      </c>
      <c r="B542" s="287" t="s">
        <v>657</v>
      </c>
      <c r="C542" s="286" t="s">
        <v>658</v>
      </c>
      <c r="D542" s="250">
        <v>5</v>
      </c>
      <c r="E542" s="225">
        <f t="shared" si="34"/>
        <v>16395</v>
      </c>
      <c r="F542" s="229">
        <f t="shared" si="35"/>
        <v>15716</v>
      </c>
      <c r="G542" s="226">
        <v>14196</v>
      </c>
      <c r="H542" s="201">
        <v>9203</v>
      </c>
      <c r="I542" s="226">
        <v>0</v>
      </c>
      <c r="J542" s="201">
        <v>0</v>
      </c>
      <c r="K542" s="228">
        <v>831</v>
      </c>
      <c r="L542" s="228">
        <v>1368</v>
      </c>
      <c r="M542" s="228">
        <v>0</v>
      </c>
      <c r="N542" s="202">
        <v>2415</v>
      </c>
      <c r="O542" s="202">
        <v>4098</v>
      </c>
      <c r="P542" s="202">
        <v>0</v>
      </c>
      <c r="Q542" s="228"/>
      <c r="R542" s="201"/>
      <c r="S542" s="225">
        <f t="shared" si="36"/>
        <v>3072</v>
      </c>
      <c r="T542" s="229">
        <f t="shared" si="37"/>
        <v>2907</v>
      </c>
      <c r="U542" s="226">
        <v>2952</v>
      </c>
      <c r="V542" s="201">
        <v>2379</v>
      </c>
      <c r="W542" s="226">
        <v>0</v>
      </c>
      <c r="X542" s="201">
        <v>0</v>
      </c>
      <c r="Y542" s="228">
        <v>111</v>
      </c>
      <c r="Z542" s="228">
        <v>9</v>
      </c>
      <c r="AA542" s="228">
        <v>0</v>
      </c>
      <c r="AB542" s="202">
        <v>255</v>
      </c>
      <c r="AC542" s="202">
        <v>273</v>
      </c>
      <c r="AD542" s="202">
        <v>0</v>
      </c>
      <c r="AE542" s="228"/>
      <c r="AF542" s="240"/>
    </row>
    <row r="543" spans="1:32" s="203" customFormat="1">
      <c r="A543" s="286" t="s">
        <v>133</v>
      </c>
      <c r="B543" s="287" t="s">
        <v>659</v>
      </c>
      <c r="C543" s="286">
        <v>225432</v>
      </c>
      <c r="D543" s="250">
        <v>5</v>
      </c>
      <c r="E543" s="225">
        <f t="shared" si="34"/>
        <v>246650</v>
      </c>
      <c r="F543" s="229">
        <f t="shared" si="35"/>
        <v>255195</v>
      </c>
      <c r="G543" s="226">
        <v>215213</v>
      </c>
      <c r="H543" s="201">
        <v>219372</v>
      </c>
      <c r="I543" s="226">
        <v>11007</v>
      </c>
      <c r="J543" s="201">
        <v>11820</v>
      </c>
      <c r="K543" s="228">
        <v>17235</v>
      </c>
      <c r="L543" s="228">
        <v>2937</v>
      </c>
      <c r="M543" s="228">
        <v>258</v>
      </c>
      <c r="N543" s="202">
        <v>21372</v>
      </c>
      <c r="O543" s="202">
        <v>2406</v>
      </c>
      <c r="P543" s="202">
        <v>225</v>
      </c>
      <c r="Q543" s="228"/>
      <c r="R543" s="201"/>
      <c r="S543" s="225">
        <f t="shared" si="36"/>
        <v>1662</v>
      </c>
      <c r="T543" s="229">
        <f t="shared" si="37"/>
        <v>2043</v>
      </c>
      <c r="U543" s="226">
        <v>1590</v>
      </c>
      <c r="V543" s="201">
        <v>2010</v>
      </c>
      <c r="W543" s="226">
        <v>42</v>
      </c>
      <c r="X543" s="201">
        <v>9</v>
      </c>
      <c r="Y543" s="228">
        <v>30</v>
      </c>
      <c r="Z543" s="228">
        <v>0</v>
      </c>
      <c r="AA543" s="228">
        <v>0</v>
      </c>
      <c r="AB543" s="202">
        <v>24</v>
      </c>
      <c r="AC543" s="202">
        <v>0</v>
      </c>
      <c r="AD543" s="202">
        <v>0</v>
      </c>
      <c r="AE543" s="228"/>
      <c r="AF543" s="240"/>
    </row>
    <row r="544" spans="1:32" s="203" customFormat="1">
      <c r="A544" s="286" t="s">
        <v>133</v>
      </c>
      <c r="B544" s="287" t="s">
        <v>660</v>
      </c>
      <c r="C544" s="286">
        <v>225502</v>
      </c>
      <c r="D544" s="250">
        <v>5</v>
      </c>
      <c r="E544" s="225">
        <f t="shared" si="34"/>
        <v>31021</v>
      </c>
      <c r="F544" s="229">
        <f t="shared" si="35"/>
        <v>34896</v>
      </c>
      <c r="G544" s="226">
        <v>5363</v>
      </c>
      <c r="H544" s="201">
        <v>3888</v>
      </c>
      <c r="I544" s="226">
        <v>5126</v>
      </c>
      <c r="J544" s="201">
        <v>7341</v>
      </c>
      <c r="K544" s="228">
        <v>18845</v>
      </c>
      <c r="L544" s="228">
        <v>1063</v>
      </c>
      <c r="M544" s="228">
        <v>624</v>
      </c>
      <c r="N544" s="202">
        <v>22015</v>
      </c>
      <c r="O544" s="202">
        <v>0</v>
      </c>
      <c r="P544" s="202">
        <v>1652</v>
      </c>
      <c r="Q544" s="228"/>
      <c r="R544" s="201"/>
      <c r="S544" s="225">
        <f t="shared" si="36"/>
        <v>20213</v>
      </c>
      <c r="T544" s="229">
        <f t="shared" si="37"/>
        <v>22541</v>
      </c>
      <c r="U544" s="226">
        <v>1304</v>
      </c>
      <c r="V544" s="201">
        <v>959</v>
      </c>
      <c r="W544" s="226">
        <v>4308</v>
      </c>
      <c r="X544" s="201">
        <v>4782</v>
      </c>
      <c r="Y544" s="228">
        <v>14232</v>
      </c>
      <c r="Z544" s="228">
        <v>264</v>
      </c>
      <c r="AA544" s="228">
        <v>105</v>
      </c>
      <c r="AB544" s="202">
        <v>15699</v>
      </c>
      <c r="AC544" s="202">
        <v>0</v>
      </c>
      <c r="AD544" s="202">
        <v>1101</v>
      </c>
      <c r="AE544" s="228"/>
      <c r="AF544" s="240"/>
    </row>
    <row r="545" spans="1:32" s="203" customFormat="1">
      <c r="A545" s="286" t="s">
        <v>133</v>
      </c>
      <c r="B545" s="287" t="s">
        <v>661</v>
      </c>
      <c r="C545" s="286">
        <v>228714</v>
      </c>
      <c r="D545" s="250">
        <v>6</v>
      </c>
      <c r="E545" s="225">
        <f t="shared" si="34"/>
        <v>44832</v>
      </c>
      <c r="F545" s="229">
        <f t="shared" si="35"/>
        <v>44481</v>
      </c>
      <c r="G545" s="226">
        <v>44832</v>
      </c>
      <c r="H545" s="201">
        <v>44481</v>
      </c>
      <c r="I545" s="226">
        <v>0</v>
      </c>
      <c r="J545" s="201">
        <v>0</v>
      </c>
      <c r="K545" s="228">
        <v>0</v>
      </c>
      <c r="L545" s="228">
        <v>0</v>
      </c>
      <c r="M545" s="228">
        <v>0</v>
      </c>
      <c r="N545" s="202">
        <v>0</v>
      </c>
      <c r="O545" s="202">
        <v>0</v>
      </c>
      <c r="P545" s="202">
        <v>0</v>
      </c>
      <c r="Q545" s="228"/>
      <c r="R545" s="201"/>
      <c r="S545" s="225">
        <f t="shared" si="36"/>
        <v>604</v>
      </c>
      <c r="T545" s="229">
        <f t="shared" si="37"/>
        <v>824</v>
      </c>
      <c r="U545" s="226">
        <v>604</v>
      </c>
      <c r="V545" s="201">
        <v>824</v>
      </c>
      <c r="W545" s="226">
        <v>0</v>
      </c>
      <c r="X545" s="201">
        <v>0</v>
      </c>
      <c r="Y545" s="228">
        <v>0</v>
      </c>
      <c r="Z545" s="228">
        <v>0</v>
      </c>
      <c r="AA545" s="228">
        <v>0</v>
      </c>
      <c r="AB545" s="202">
        <v>0</v>
      </c>
      <c r="AC545" s="202">
        <v>0</v>
      </c>
      <c r="AD545" s="202">
        <v>0</v>
      </c>
      <c r="AE545" s="228"/>
      <c r="AF545" s="240"/>
    </row>
    <row r="546" spans="1:32" s="203" customFormat="1">
      <c r="A546" s="286" t="s">
        <v>133</v>
      </c>
      <c r="B546" s="287" t="s">
        <v>662</v>
      </c>
      <c r="C546" s="286">
        <v>222576</v>
      </c>
      <c r="D546" s="250">
        <v>8</v>
      </c>
      <c r="E546" s="225">
        <f t="shared" si="34"/>
        <v>180440</v>
      </c>
      <c r="F546" s="229">
        <f t="shared" si="35"/>
        <v>176670</v>
      </c>
      <c r="G546" s="226">
        <v>135278</v>
      </c>
      <c r="H546" s="201">
        <v>128082</v>
      </c>
      <c r="I546" s="226">
        <v>6874</v>
      </c>
      <c r="J546" s="201">
        <v>5986</v>
      </c>
      <c r="K546" s="228">
        <v>34360</v>
      </c>
      <c r="L546" s="228">
        <v>461</v>
      </c>
      <c r="M546" s="228">
        <v>3467</v>
      </c>
      <c r="N546" s="202">
        <v>39095</v>
      </c>
      <c r="O546" s="202">
        <v>819</v>
      </c>
      <c r="P546" s="202">
        <v>2688</v>
      </c>
      <c r="Q546" s="228"/>
      <c r="R546" s="201"/>
      <c r="S546" s="225">
        <f t="shared" si="36"/>
        <v>0</v>
      </c>
      <c r="T546" s="229">
        <f t="shared" si="37"/>
        <v>0</v>
      </c>
      <c r="U546" s="226"/>
      <c r="V546" s="201"/>
      <c r="W546" s="226"/>
      <c r="X546" s="201"/>
      <c r="Y546" s="228"/>
      <c r="Z546" s="228"/>
      <c r="AA546" s="228"/>
      <c r="AB546" s="202"/>
      <c r="AC546" s="202"/>
      <c r="AD546" s="202"/>
      <c r="AE546" s="228"/>
      <c r="AF546" s="240"/>
    </row>
    <row r="547" spans="1:32" s="203" customFormat="1">
      <c r="A547" s="286" t="s">
        <v>133</v>
      </c>
      <c r="B547" s="287" t="s">
        <v>663</v>
      </c>
      <c r="C547" s="286">
        <v>222992</v>
      </c>
      <c r="D547" s="250">
        <v>8</v>
      </c>
      <c r="E547" s="225">
        <f t="shared" si="34"/>
        <v>620928</v>
      </c>
      <c r="F547" s="229">
        <f t="shared" si="35"/>
        <v>647135</v>
      </c>
      <c r="G547" s="226">
        <v>498274</v>
      </c>
      <c r="H547" s="201">
        <v>511478</v>
      </c>
      <c r="I547" s="226">
        <v>32590</v>
      </c>
      <c r="J547" s="201">
        <v>39272</v>
      </c>
      <c r="K547" s="228">
        <v>90064</v>
      </c>
      <c r="L547" s="228">
        <v>0</v>
      </c>
      <c r="M547" s="228">
        <v>0</v>
      </c>
      <c r="N547" s="202">
        <v>96385</v>
      </c>
      <c r="O547" s="202">
        <v>0</v>
      </c>
      <c r="P547" s="202">
        <v>0</v>
      </c>
      <c r="Q547" s="228"/>
      <c r="R547" s="201"/>
      <c r="S547" s="225">
        <f t="shared" si="36"/>
        <v>0</v>
      </c>
      <c r="T547" s="229">
        <f t="shared" si="37"/>
        <v>0</v>
      </c>
      <c r="U547" s="226"/>
      <c r="V547" s="201"/>
      <c r="W547" s="226"/>
      <c r="X547" s="201"/>
      <c r="Y547" s="228"/>
      <c r="Z547" s="228"/>
      <c r="AA547" s="228"/>
      <c r="AB547" s="202"/>
      <c r="AC547" s="202"/>
      <c r="AD547" s="202"/>
      <c r="AE547" s="228"/>
      <c r="AF547" s="240"/>
    </row>
    <row r="548" spans="1:32" s="203" customFormat="1">
      <c r="A548" s="286" t="s">
        <v>133</v>
      </c>
      <c r="B548" s="287" t="s">
        <v>664</v>
      </c>
      <c r="C548" s="286">
        <v>223427</v>
      </c>
      <c r="D548" s="250">
        <v>8</v>
      </c>
      <c r="E548" s="225">
        <f t="shared" si="34"/>
        <v>320919</v>
      </c>
      <c r="F548" s="229">
        <f t="shared" si="35"/>
        <v>339922</v>
      </c>
      <c r="G548" s="226">
        <v>58626</v>
      </c>
      <c r="H548" s="201">
        <v>54725</v>
      </c>
      <c r="I548" s="226">
        <v>231304</v>
      </c>
      <c r="J548" s="201">
        <v>249759</v>
      </c>
      <c r="K548" s="228">
        <v>30989</v>
      </c>
      <c r="L548" s="228">
        <v>0</v>
      </c>
      <c r="M548" s="228">
        <v>0</v>
      </c>
      <c r="N548" s="202">
        <v>35438</v>
      </c>
      <c r="O548" s="202">
        <v>0</v>
      </c>
      <c r="P548" s="202">
        <v>0</v>
      </c>
      <c r="Q548" s="228"/>
      <c r="R548" s="201"/>
      <c r="S548" s="225">
        <f t="shared" si="36"/>
        <v>0</v>
      </c>
      <c r="T548" s="229">
        <f t="shared" si="37"/>
        <v>0</v>
      </c>
      <c r="U548" s="226"/>
      <c r="V548" s="201"/>
      <c r="W548" s="226"/>
      <c r="X548" s="201"/>
      <c r="Y548" s="228"/>
      <c r="Z548" s="228"/>
      <c r="AA548" s="228"/>
      <c r="AB548" s="202"/>
      <c r="AC548" s="202"/>
      <c r="AD548" s="202"/>
      <c r="AE548" s="228"/>
      <c r="AF548" s="240"/>
    </row>
    <row r="549" spans="1:32" s="203" customFormat="1">
      <c r="A549" s="286" t="s">
        <v>133</v>
      </c>
      <c r="B549" s="287" t="s">
        <v>665</v>
      </c>
      <c r="C549" s="286">
        <v>223524</v>
      </c>
      <c r="D549" s="250">
        <v>8</v>
      </c>
      <c r="E549" s="225">
        <f t="shared" si="34"/>
        <v>186065</v>
      </c>
      <c r="F549" s="229">
        <f t="shared" si="35"/>
        <v>188250</v>
      </c>
      <c r="G549" s="226">
        <v>152145</v>
      </c>
      <c r="H549" s="201">
        <v>147409</v>
      </c>
      <c r="I549" s="226">
        <v>0</v>
      </c>
      <c r="J549" s="201">
        <v>0</v>
      </c>
      <c r="K549" s="228">
        <v>33192</v>
      </c>
      <c r="L549" s="228">
        <v>0</v>
      </c>
      <c r="M549" s="228">
        <v>728</v>
      </c>
      <c r="N549" s="202">
        <v>40454</v>
      </c>
      <c r="O549" s="202">
        <v>0</v>
      </c>
      <c r="P549" s="202">
        <v>387</v>
      </c>
      <c r="Q549" s="228"/>
      <c r="R549" s="201"/>
      <c r="S549" s="225">
        <f t="shared" si="36"/>
        <v>0</v>
      </c>
      <c r="T549" s="229">
        <f t="shared" si="37"/>
        <v>0</v>
      </c>
      <c r="U549" s="226"/>
      <c r="V549" s="201"/>
      <c r="W549" s="226"/>
      <c r="X549" s="201"/>
      <c r="Y549" s="228"/>
      <c r="Z549" s="228"/>
      <c r="AA549" s="228"/>
      <c r="AB549" s="202"/>
      <c r="AC549" s="202"/>
      <c r="AD549" s="202"/>
      <c r="AE549" s="228"/>
      <c r="AF549" s="240"/>
    </row>
    <row r="550" spans="1:32" s="203" customFormat="1">
      <c r="A550" s="286" t="s">
        <v>133</v>
      </c>
      <c r="B550" s="287" t="s">
        <v>666</v>
      </c>
      <c r="C550" s="286">
        <v>223816</v>
      </c>
      <c r="D550" s="250">
        <v>8</v>
      </c>
      <c r="E550" s="225">
        <f t="shared" si="34"/>
        <v>251214</v>
      </c>
      <c r="F550" s="229">
        <f t="shared" si="35"/>
        <v>264146</v>
      </c>
      <c r="G550" s="226">
        <v>101656</v>
      </c>
      <c r="H550" s="201">
        <v>97874</v>
      </c>
      <c r="I550" s="226">
        <v>48872</v>
      </c>
      <c r="J550" s="201">
        <v>59093</v>
      </c>
      <c r="K550" s="228">
        <v>99714</v>
      </c>
      <c r="L550" s="228">
        <v>222</v>
      </c>
      <c r="M550" s="228">
        <v>750</v>
      </c>
      <c r="N550" s="202">
        <v>105710</v>
      </c>
      <c r="O550" s="202">
        <v>1149</v>
      </c>
      <c r="P550" s="202">
        <v>320</v>
      </c>
      <c r="Q550" s="228"/>
      <c r="R550" s="201"/>
      <c r="S550" s="225">
        <f t="shared" si="36"/>
        <v>0</v>
      </c>
      <c r="T550" s="229">
        <f t="shared" si="37"/>
        <v>0</v>
      </c>
      <c r="U550" s="226"/>
      <c r="V550" s="201"/>
      <c r="W550" s="226"/>
      <c r="X550" s="201"/>
      <c r="Y550" s="228"/>
      <c r="Z550" s="228"/>
      <c r="AA550" s="228"/>
      <c r="AB550" s="202"/>
      <c r="AC550" s="202"/>
      <c r="AD550" s="202"/>
      <c r="AE550" s="228"/>
      <c r="AF550" s="240"/>
    </row>
    <row r="551" spans="1:32" s="203" customFormat="1">
      <c r="A551" s="286" t="s">
        <v>133</v>
      </c>
      <c r="B551" s="287" t="s">
        <v>667</v>
      </c>
      <c r="C551" s="286">
        <v>247834</v>
      </c>
      <c r="D551" s="250">
        <v>8</v>
      </c>
      <c r="E551" s="225">
        <f t="shared" si="34"/>
        <v>391973</v>
      </c>
      <c r="F551" s="229">
        <f t="shared" si="35"/>
        <v>418439</v>
      </c>
      <c r="G551" s="226">
        <v>350992</v>
      </c>
      <c r="H551" s="201">
        <v>376730</v>
      </c>
      <c r="I551" s="226">
        <v>3143</v>
      </c>
      <c r="J551" s="201">
        <v>2888</v>
      </c>
      <c r="K551" s="228">
        <v>24166</v>
      </c>
      <c r="L551" s="228">
        <v>156</v>
      </c>
      <c r="M551" s="228">
        <v>13516</v>
      </c>
      <c r="N551" s="202">
        <v>30924</v>
      </c>
      <c r="O551" s="202">
        <v>0</v>
      </c>
      <c r="P551" s="202">
        <v>7897</v>
      </c>
      <c r="Q551" s="228"/>
      <c r="R551" s="201"/>
      <c r="S551" s="225">
        <f t="shared" si="36"/>
        <v>0</v>
      </c>
      <c r="T551" s="229">
        <f t="shared" si="37"/>
        <v>0</v>
      </c>
      <c r="U551" s="226"/>
      <c r="V551" s="201"/>
      <c r="W551" s="226"/>
      <c r="X551" s="201"/>
      <c r="Y551" s="228"/>
      <c r="Z551" s="228"/>
      <c r="AA551" s="228"/>
      <c r="AB551" s="202"/>
      <c r="AC551" s="202"/>
      <c r="AD551" s="202"/>
      <c r="AE551" s="228"/>
      <c r="AF551" s="240"/>
    </row>
    <row r="552" spans="1:32" s="203" customFormat="1">
      <c r="A552" s="286" t="s">
        <v>133</v>
      </c>
      <c r="B552" s="287" t="s">
        <v>668</v>
      </c>
      <c r="C552" s="286">
        <v>224350</v>
      </c>
      <c r="D552" s="250">
        <v>8</v>
      </c>
      <c r="E552" s="225">
        <f t="shared" si="34"/>
        <v>208627</v>
      </c>
      <c r="F552" s="229">
        <f t="shared" si="35"/>
        <v>206359</v>
      </c>
      <c r="G552" s="226">
        <v>188537</v>
      </c>
      <c r="H552" s="201">
        <v>185553</v>
      </c>
      <c r="I552" s="226">
        <v>675</v>
      </c>
      <c r="J552" s="201">
        <v>431</v>
      </c>
      <c r="K552" s="228">
        <v>19072</v>
      </c>
      <c r="L552" s="228">
        <v>90</v>
      </c>
      <c r="M552" s="228">
        <v>253</v>
      </c>
      <c r="N552" s="202">
        <v>20318</v>
      </c>
      <c r="O552" s="202">
        <v>0</v>
      </c>
      <c r="P552" s="202">
        <v>57</v>
      </c>
      <c r="Q552" s="228"/>
      <c r="R552" s="201"/>
      <c r="S552" s="225">
        <f t="shared" si="36"/>
        <v>0</v>
      </c>
      <c r="T552" s="229">
        <f t="shared" si="37"/>
        <v>0</v>
      </c>
      <c r="U552" s="226"/>
      <c r="V552" s="201"/>
      <c r="W552" s="226"/>
      <c r="X552" s="201"/>
      <c r="Y552" s="228"/>
      <c r="Z552" s="228"/>
      <c r="AA552" s="228"/>
      <c r="AB552" s="202"/>
      <c r="AC552" s="202"/>
      <c r="AD552" s="202"/>
      <c r="AE552" s="228"/>
      <c r="AF552" s="240"/>
    </row>
    <row r="553" spans="1:32" s="203" customFormat="1">
      <c r="A553" s="286" t="s">
        <v>133</v>
      </c>
      <c r="B553" s="287" t="s">
        <v>669</v>
      </c>
      <c r="C553" s="286">
        <v>224572</v>
      </c>
      <c r="D553" s="250">
        <v>8</v>
      </c>
      <c r="E553" s="225">
        <f t="shared" si="34"/>
        <v>178909</v>
      </c>
      <c r="F553" s="229">
        <f t="shared" si="35"/>
        <v>185304</v>
      </c>
      <c r="G553" s="226">
        <v>148728</v>
      </c>
      <c r="H553" s="201">
        <v>147313</v>
      </c>
      <c r="I553" s="226">
        <v>0</v>
      </c>
      <c r="J553" s="201">
        <v>0</v>
      </c>
      <c r="K553" s="228">
        <v>29049</v>
      </c>
      <c r="L553" s="228">
        <v>0</v>
      </c>
      <c r="M553" s="228">
        <v>1132</v>
      </c>
      <c r="N553" s="202">
        <v>37174</v>
      </c>
      <c r="O553" s="202">
        <v>0</v>
      </c>
      <c r="P553" s="202">
        <v>817</v>
      </c>
      <c r="Q553" s="228"/>
      <c r="R553" s="201"/>
      <c r="S553" s="225">
        <f t="shared" si="36"/>
        <v>0</v>
      </c>
      <c r="T553" s="229">
        <f t="shared" si="37"/>
        <v>0</v>
      </c>
      <c r="U553" s="226"/>
      <c r="V553" s="201"/>
      <c r="W553" s="226"/>
      <c r="X553" s="201"/>
      <c r="Y553" s="228"/>
      <c r="Z553" s="228"/>
      <c r="AA553" s="228"/>
      <c r="AB553" s="202"/>
      <c r="AC553" s="202"/>
      <c r="AD553" s="202"/>
      <c r="AE553" s="228"/>
      <c r="AF553" s="240"/>
    </row>
    <row r="554" spans="1:32" s="203" customFormat="1">
      <c r="A554" s="286" t="s">
        <v>133</v>
      </c>
      <c r="B554" s="287" t="s">
        <v>670</v>
      </c>
      <c r="C554" s="286">
        <v>224642</v>
      </c>
      <c r="D554" s="250">
        <v>8</v>
      </c>
      <c r="E554" s="225">
        <f t="shared" si="34"/>
        <v>476474</v>
      </c>
      <c r="F554" s="229">
        <f t="shared" si="35"/>
        <v>478668</v>
      </c>
      <c r="G554" s="226">
        <v>454145</v>
      </c>
      <c r="H554" s="201">
        <v>445359</v>
      </c>
      <c r="I554" s="226">
        <v>0</v>
      </c>
      <c r="J554" s="201">
        <v>0</v>
      </c>
      <c r="K554" s="228">
        <v>19366</v>
      </c>
      <c r="L554" s="228">
        <v>824</v>
      </c>
      <c r="M554" s="228">
        <v>2139</v>
      </c>
      <c r="N554" s="202">
        <v>28674</v>
      </c>
      <c r="O554" s="202">
        <v>681</v>
      </c>
      <c r="P554" s="202">
        <v>3954</v>
      </c>
      <c r="Q554" s="228"/>
      <c r="R554" s="201"/>
      <c r="S554" s="225">
        <f t="shared" si="36"/>
        <v>0</v>
      </c>
      <c r="T554" s="229">
        <f t="shared" si="37"/>
        <v>0</v>
      </c>
      <c r="U554" s="226"/>
      <c r="V554" s="201"/>
      <c r="W554" s="226"/>
      <c r="X554" s="201"/>
      <c r="Y554" s="228"/>
      <c r="Z554" s="228"/>
      <c r="AA554" s="228"/>
      <c r="AB554" s="202"/>
      <c r="AC554" s="202"/>
      <c r="AD554" s="202"/>
      <c r="AE554" s="228"/>
      <c r="AF554" s="240"/>
    </row>
    <row r="555" spans="1:32" s="203" customFormat="1">
      <c r="A555" s="286" t="s">
        <v>133</v>
      </c>
      <c r="B555" s="287" t="s">
        <v>671</v>
      </c>
      <c r="C555" s="286">
        <v>225423</v>
      </c>
      <c r="D555" s="250">
        <v>8</v>
      </c>
      <c r="E555" s="225">
        <f t="shared" si="34"/>
        <v>804688</v>
      </c>
      <c r="F555" s="229">
        <f t="shared" si="35"/>
        <v>866197</v>
      </c>
      <c r="G555" s="226">
        <v>516051</v>
      </c>
      <c r="H555" s="201">
        <v>532978</v>
      </c>
      <c r="I555" s="226">
        <v>187155</v>
      </c>
      <c r="J555" s="201">
        <v>194430</v>
      </c>
      <c r="K555" s="228">
        <v>99595</v>
      </c>
      <c r="L555" s="228">
        <v>0</v>
      </c>
      <c r="M555" s="228">
        <v>1887</v>
      </c>
      <c r="N555" s="202">
        <v>137232</v>
      </c>
      <c r="O555" s="202">
        <v>0</v>
      </c>
      <c r="P555" s="202">
        <v>1557</v>
      </c>
      <c r="Q555" s="228"/>
      <c r="R555" s="201"/>
      <c r="S555" s="225">
        <f t="shared" si="36"/>
        <v>0</v>
      </c>
      <c r="T555" s="229">
        <f t="shared" si="37"/>
        <v>0</v>
      </c>
      <c r="U555" s="226"/>
      <c r="V555" s="201"/>
      <c r="W555" s="226"/>
      <c r="X555" s="201"/>
      <c r="Y555" s="228"/>
      <c r="Z555" s="228"/>
      <c r="AA555" s="228"/>
      <c r="AB555" s="202"/>
      <c r="AC555" s="202"/>
      <c r="AD555" s="202"/>
      <c r="AE555" s="228"/>
      <c r="AF555" s="240"/>
    </row>
    <row r="556" spans="1:32" s="203" customFormat="1">
      <c r="A556" s="286" t="s">
        <v>133</v>
      </c>
      <c r="B556" s="287" t="s">
        <v>672</v>
      </c>
      <c r="C556" s="286">
        <v>226134</v>
      </c>
      <c r="D556" s="250">
        <v>8</v>
      </c>
      <c r="E556" s="225">
        <f t="shared" si="34"/>
        <v>156550</v>
      </c>
      <c r="F556" s="229">
        <f t="shared" si="35"/>
        <v>157444</v>
      </c>
      <c r="G556" s="226">
        <v>134172</v>
      </c>
      <c r="H556" s="201">
        <v>135460</v>
      </c>
      <c r="I556" s="226">
        <v>0</v>
      </c>
      <c r="J556" s="201">
        <v>0</v>
      </c>
      <c r="K556" s="228">
        <v>22378</v>
      </c>
      <c r="L556" s="228">
        <v>0</v>
      </c>
      <c r="M556" s="228">
        <v>0</v>
      </c>
      <c r="N556" s="202">
        <v>21984</v>
      </c>
      <c r="O556" s="202">
        <v>0</v>
      </c>
      <c r="P556" s="202">
        <v>0</v>
      </c>
      <c r="Q556" s="228"/>
      <c r="R556" s="201"/>
      <c r="S556" s="225">
        <f t="shared" si="36"/>
        <v>0</v>
      </c>
      <c r="T556" s="229">
        <f t="shared" si="37"/>
        <v>0</v>
      </c>
      <c r="U556" s="226"/>
      <c r="V556" s="201"/>
      <c r="W556" s="226"/>
      <c r="X556" s="201"/>
      <c r="Y556" s="228"/>
      <c r="Z556" s="228"/>
      <c r="AA556" s="228"/>
      <c r="AB556" s="202"/>
      <c r="AC556" s="202"/>
      <c r="AD556" s="202"/>
      <c r="AE556" s="228"/>
      <c r="AF556" s="240"/>
    </row>
    <row r="557" spans="1:32" s="203" customFormat="1">
      <c r="A557" s="286" t="s">
        <v>133</v>
      </c>
      <c r="B557" s="381" t="s">
        <v>673</v>
      </c>
      <c r="C557" s="382">
        <v>227146</v>
      </c>
      <c r="D557" s="383">
        <v>8</v>
      </c>
      <c r="E557" s="225">
        <f t="shared" si="34"/>
        <v>156822</v>
      </c>
      <c r="F557" s="229">
        <f t="shared" si="35"/>
        <v>171875</v>
      </c>
      <c r="G557" s="226">
        <v>62112</v>
      </c>
      <c r="H557" s="201">
        <v>65877</v>
      </c>
      <c r="I557" s="226">
        <v>62320</v>
      </c>
      <c r="J557" s="201">
        <v>66713</v>
      </c>
      <c r="K557" s="228">
        <v>28430</v>
      </c>
      <c r="L557" s="228">
        <v>0</v>
      </c>
      <c r="M557" s="228">
        <v>3960</v>
      </c>
      <c r="N557" s="202">
        <v>35657</v>
      </c>
      <c r="O557" s="202">
        <v>0</v>
      </c>
      <c r="P557" s="202">
        <v>3628</v>
      </c>
      <c r="Q557" s="228"/>
      <c r="R557" s="201"/>
      <c r="S557" s="225">
        <f t="shared" si="36"/>
        <v>0</v>
      </c>
      <c r="T557" s="229">
        <f t="shared" si="37"/>
        <v>0</v>
      </c>
      <c r="U557" s="226"/>
      <c r="V557" s="201"/>
      <c r="W557" s="226"/>
      <c r="X557" s="201"/>
      <c r="Y557" s="228"/>
      <c r="Z557" s="228"/>
      <c r="AA557" s="228"/>
      <c r="AB557" s="202"/>
      <c r="AC557" s="202"/>
      <c r="AD557" s="202"/>
      <c r="AE557" s="228"/>
      <c r="AF557" s="240"/>
    </row>
    <row r="558" spans="1:32" s="203" customFormat="1">
      <c r="A558" s="286" t="s">
        <v>133</v>
      </c>
      <c r="B558" s="287" t="s">
        <v>674</v>
      </c>
      <c r="C558" s="286">
        <v>227182</v>
      </c>
      <c r="D558" s="250">
        <v>8</v>
      </c>
      <c r="E558" s="225">
        <f t="shared" si="34"/>
        <v>803542</v>
      </c>
      <c r="F558" s="229">
        <f t="shared" si="35"/>
        <v>842208</v>
      </c>
      <c r="G558" s="226">
        <v>683441</v>
      </c>
      <c r="H558" s="201">
        <v>705627</v>
      </c>
      <c r="I558" s="226">
        <v>947</v>
      </c>
      <c r="J558" s="201">
        <v>1403</v>
      </c>
      <c r="K558" s="228">
        <v>114021</v>
      </c>
      <c r="L558" s="228">
        <v>0</v>
      </c>
      <c r="M558" s="228">
        <v>5133</v>
      </c>
      <c r="N558" s="202">
        <v>131607</v>
      </c>
      <c r="O558" s="202">
        <v>0</v>
      </c>
      <c r="P558" s="202">
        <v>3571</v>
      </c>
      <c r="Q558" s="228"/>
      <c r="R558" s="201"/>
      <c r="S558" s="225">
        <f t="shared" si="36"/>
        <v>0</v>
      </c>
      <c r="T558" s="229">
        <f t="shared" si="37"/>
        <v>0</v>
      </c>
      <c r="U558" s="226"/>
      <c r="V558" s="201"/>
      <c r="W558" s="226"/>
      <c r="X558" s="201"/>
      <c r="Y558" s="228"/>
      <c r="Z558" s="228"/>
      <c r="AA558" s="228"/>
      <c r="AB558" s="202"/>
      <c r="AC558" s="202"/>
      <c r="AD558" s="202"/>
      <c r="AE558" s="228"/>
      <c r="AF558" s="240"/>
    </row>
    <row r="559" spans="1:32" s="203" customFormat="1">
      <c r="A559" s="286" t="s">
        <v>133</v>
      </c>
      <c r="B559" s="287" t="s">
        <v>675</v>
      </c>
      <c r="C559" s="286">
        <v>227191</v>
      </c>
      <c r="D559" s="250">
        <v>8</v>
      </c>
      <c r="E559" s="225">
        <f t="shared" si="34"/>
        <v>170113</v>
      </c>
      <c r="F559" s="229">
        <f t="shared" si="35"/>
        <v>179296</v>
      </c>
      <c r="G559" s="226">
        <v>139628</v>
      </c>
      <c r="H559" s="201">
        <v>140389</v>
      </c>
      <c r="I559" s="226">
        <v>3512</v>
      </c>
      <c r="J559" s="201">
        <v>3696</v>
      </c>
      <c r="K559" s="228">
        <v>25884</v>
      </c>
      <c r="L559" s="228">
        <v>0</v>
      </c>
      <c r="M559" s="228">
        <v>1089</v>
      </c>
      <c r="N559" s="202">
        <v>34689</v>
      </c>
      <c r="O559" s="202">
        <v>0</v>
      </c>
      <c r="P559" s="202">
        <v>522</v>
      </c>
      <c r="Q559" s="228"/>
      <c r="R559" s="201"/>
      <c r="S559" s="225">
        <f t="shared" si="36"/>
        <v>0</v>
      </c>
      <c r="T559" s="229">
        <f t="shared" si="37"/>
        <v>0</v>
      </c>
      <c r="U559" s="226"/>
      <c r="V559" s="201"/>
      <c r="W559" s="226"/>
      <c r="X559" s="201"/>
      <c r="Y559" s="228"/>
      <c r="Z559" s="228"/>
      <c r="AA559" s="228"/>
      <c r="AB559" s="202"/>
      <c r="AC559" s="202"/>
      <c r="AD559" s="202"/>
      <c r="AE559" s="228"/>
      <c r="AF559" s="240"/>
    </row>
    <row r="560" spans="1:32" s="203" customFormat="1">
      <c r="A560" s="286" t="s">
        <v>133</v>
      </c>
      <c r="B560" s="287" t="s">
        <v>676</v>
      </c>
      <c r="C560" s="286">
        <v>420398</v>
      </c>
      <c r="D560" s="250">
        <v>8</v>
      </c>
      <c r="E560" s="225">
        <f t="shared" si="34"/>
        <v>197878</v>
      </c>
      <c r="F560" s="229">
        <f t="shared" si="35"/>
        <v>214596</v>
      </c>
      <c r="G560" s="226">
        <v>179192</v>
      </c>
      <c r="H560" s="201">
        <v>193323</v>
      </c>
      <c r="I560" s="226">
        <v>0</v>
      </c>
      <c r="J560" s="201">
        <v>0</v>
      </c>
      <c r="K560" s="228">
        <v>18686</v>
      </c>
      <c r="L560" s="228">
        <v>0</v>
      </c>
      <c r="M560" s="228">
        <v>0</v>
      </c>
      <c r="N560" s="202">
        <v>21273</v>
      </c>
      <c r="O560" s="202">
        <v>0</v>
      </c>
      <c r="P560" s="202">
        <v>0</v>
      </c>
      <c r="Q560" s="228"/>
      <c r="R560" s="201"/>
      <c r="S560" s="225">
        <f t="shared" si="36"/>
        <v>0</v>
      </c>
      <c r="T560" s="229">
        <f t="shared" si="37"/>
        <v>0</v>
      </c>
      <c r="U560" s="226"/>
      <c r="V560" s="201"/>
      <c r="W560" s="226"/>
      <c r="X560" s="201"/>
      <c r="Y560" s="228"/>
      <c r="Z560" s="228"/>
      <c r="AA560" s="228"/>
      <c r="AB560" s="202"/>
      <c r="AC560" s="202"/>
      <c r="AD560" s="202"/>
      <c r="AE560" s="228"/>
      <c r="AF560" s="240"/>
    </row>
    <row r="561" spans="1:32" s="203" customFormat="1">
      <c r="A561" s="286" t="s">
        <v>133</v>
      </c>
      <c r="B561" s="287" t="s">
        <v>677</v>
      </c>
      <c r="C561" s="286">
        <v>246354</v>
      </c>
      <c r="D561" s="250">
        <v>8</v>
      </c>
      <c r="E561" s="225">
        <f t="shared" si="34"/>
        <v>153310</v>
      </c>
      <c r="F561" s="229">
        <f t="shared" si="35"/>
        <v>151829</v>
      </c>
      <c r="G561" s="226">
        <v>125700</v>
      </c>
      <c r="H561" s="201">
        <v>120745</v>
      </c>
      <c r="I561" s="226">
        <v>815</v>
      </c>
      <c r="J561" s="201">
        <v>123</v>
      </c>
      <c r="K561" s="228">
        <v>24356</v>
      </c>
      <c r="L561" s="228">
        <v>255</v>
      </c>
      <c r="M561" s="228">
        <v>2184</v>
      </c>
      <c r="N561" s="202">
        <v>27721</v>
      </c>
      <c r="O561" s="202">
        <v>1113</v>
      </c>
      <c r="P561" s="202">
        <v>2127</v>
      </c>
      <c r="Q561" s="228"/>
      <c r="R561" s="201"/>
      <c r="S561" s="225">
        <f t="shared" si="36"/>
        <v>0</v>
      </c>
      <c r="T561" s="229">
        <f t="shared" si="37"/>
        <v>0</v>
      </c>
      <c r="U561" s="226"/>
      <c r="V561" s="201"/>
      <c r="W561" s="226"/>
      <c r="X561" s="201"/>
      <c r="Y561" s="228"/>
      <c r="Z561" s="228"/>
      <c r="AA561" s="228"/>
      <c r="AB561" s="202"/>
      <c r="AC561" s="202"/>
      <c r="AD561" s="202"/>
      <c r="AE561" s="228"/>
      <c r="AF561" s="240"/>
    </row>
    <row r="562" spans="1:32" s="203" customFormat="1">
      <c r="A562" s="286" t="s">
        <v>133</v>
      </c>
      <c r="B562" s="287" t="s">
        <v>678</v>
      </c>
      <c r="C562" s="286">
        <v>227766</v>
      </c>
      <c r="D562" s="250">
        <v>8</v>
      </c>
      <c r="E562" s="225">
        <f t="shared" si="34"/>
        <v>280716</v>
      </c>
      <c r="F562" s="229">
        <f t="shared" si="35"/>
        <v>278781</v>
      </c>
      <c r="G562" s="226">
        <v>229854</v>
      </c>
      <c r="H562" s="201">
        <v>221929</v>
      </c>
      <c r="I562" s="226">
        <v>0</v>
      </c>
      <c r="J562" s="201">
        <v>0</v>
      </c>
      <c r="K562" s="228">
        <v>50648</v>
      </c>
      <c r="L562" s="228">
        <v>0</v>
      </c>
      <c r="M562" s="228">
        <v>214</v>
      </c>
      <c r="N562" s="202">
        <v>56831</v>
      </c>
      <c r="O562" s="202">
        <v>0</v>
      </c>
      <c r="P562" s="202">
        <v>21</v>
      </c>
      <c r="Q562" s="228"/>
      <c r="R562" s="201"/>
      <c r="S562" s="225">
        <f t="shared" si="36"/>
        <v>0</v>
      </c>
      <c r="T562" s="229">
        <f t="shared" si="37"/>
        <v>0</v>
      </c>
      <c r="U562" s="226"/>
      <c r="V562" s="201"/>
      <c r="W562" s="226"/>
      <c r="X562" s="201"/>
      <c r="Y562" s="228"/>
      <c r="Z562" s="228"/>
      <c r="AA562" s="228"/>
      <c r="AB562" s="202"/>
      <c r="AC562" s="202"/>
      <c r="AD562" s="202"/>
      <c r="AE562" s="228"/>
      <c r="AF562" s="240"/>
    </row>
    <row r="563" spans="1:32" s="203" customFormat="1">
      <c r="A563" s="286" t="s">
        <v>133</v>
      </c>
      <c r="B563" s="287" t="s">
        <v>679</v>
      </c>
      <c r="C563" s="286">
        <v>227924</v>
      </c>
      <c r="D563" s="250">
        <v>8</v>
      </c>
      <c r="E563" s="225">
        <f t="shared" si="34"/>
        <v>428305</v>
      </c>
      <c r="F563" s="229">
        <f t="shared" si="35"/>
        <v>433451</v>
      </c>
      <c r="G563" s="226">
        <v>368322</v>
      </c>
      <c r="H563" s="201">
        <v>371607</v>
      </c>
      <c r="I563" s="226">
        <v>4631</v>
      </c>
      <c r="J563" s="201">
        <v>3818</v>
      </c>
      <c r="K563" s="228">
        <v>51102</v>
      </c>
      <c r="L563" s="228">
        <v>156</v>
      </c>
      <c r="M563" s="228">
        <v>4094</v>
      </c>
      <c r="N563" s="202">
        <v>54740</v>
      </c>
      <c r="O563" s="202">
        <v>172</v>
      </c>
      <c r="P563" s="202">
        <v>3114</v>
      </c>
      <c r="Q563" s="228"/>
      <c r="R563" s="201"/>
      <c r="S563" s="225">
        <f t="shared" si="36"/>
        <v>0</v>
      </c>
      <c r="T563" s="229">
        <f t="shared" si="37"/>
        <v>0</v>
      </c>
      <c r="U563" s="226"/>
      <c r="V563" s="201"/>
      <c r="W563" s="226"/>
      <c r="X563" s="201"/>
      <c r="Y563" s="228"/>
      <c r="Z563" s="228"/>
      <c r="AA563" s="228"/>
      <c r="AB563" s="202"/>
      <c r="AC563" s="202"/>
      <c r="AD563" s="202"/>
      <c r="AE563" s="228"/>
      <c r="AF563" s="240"/>
    </row>
    <row r="564" spans="1:32" s="203" customFormat="1">
      <c r="A564" s="286" t="s">
        <v>133</v>
      </c>
      <c r="B564" s="287" t="s">
        <v>680</v>
      </c>
      <c r="C564" s="286">
        <v>227979</v>
      </c>
      <c r="D564" s="250">
        <v>8</v>
      </c>
      <c r="E564" s="225">
        <f t="shared" si="34"/>
        <v>472885</v>
      </c>
      <c r="F564" s="229">
        <f t="shared" si="35"/>
        <v>489055</v>
      </c>
      <c r="G564" s="226">
        <v>454594</v>
      </c>
      <c r="H564" s="201">
        <v>439873</v>
      </c>
      <c r="I564" s="226">
        <v>2602</v>
      </c>
      <c r="J564" s="201">
        <v>6457</v>
      </c>
      <c r="K564" s="228">
        <v>14872</v>
      </c>
      <c r="L564" s="228">
        <v>655</v>
      </c>
      <c r="M564" s="228">
        <v>162</v>
      </c>
      <c r="N564" s="202">
        <v>42236</v>
      </c>
      <c r="O564" s="202">
        <v>465</v>
      </c>
      <c r="P564" s="202">
        <v>24</v>
      </c>
      <c r="Q564" s="228"/>
      <c r="R564" s="201"/>
      <c r="S564" s="225">
        <f t="shared" si="36"/>
        <v>0</v>
      </c>
      <c r="T564" s="229">
        <f t="shared" si="37"/>
        <v>0</v>
      </c>
      <c r="U564" s="226"/>
      <c r="V564" s="201"/>
      <c r="W564" s="226"/>
      <c r="X564" s="201"/>
      <c r="Y564" s="228"/>
      <c r="Z564" s="228"/>
      <c r="AA564" s="228"/>
      <c r="AB564" s="202"/>
      <c r="AC564" s="202"/>
      <c r="AD564" s="202"/>
      <c r="AE564" s="228"/>
      <c r="AF564" s="240"/>
    </row>
    <row r="565" spans="1:32" s="203" customFormat="1">
      <c r="A565" s="286" t="s">
        <v>133</v>
      </c>
      <c r="B565" s="287" t="s">
        <v>681</v>
      </c>
      <c r="C565" s="286">
        <v>228158</v>
      </c>
      <c r="D565" s="250">
        <v>8</v>
      </c>
      <c r="E565" s="225">
        <f t="shared" si="34"/>
        <v>193443</v>
      </c>
      <c r="F565" s="229">
        <f t="shared" si="35"/>
        <v>191994</v>
      </c>
      <c r="G565" s="226">
        <v>91881</v>
      </c>
      <c r="H565" s="201">
        <v>85953</v>
      </c>
      <c r="I565" s="226">
        <v>74682</v>
      </c>
      <c r="J565" s="201">
        <v>75496</v>
      </c>
      <c r="K565" s="228">
        <v>23204</v>
      </c>
      <c r="L565" s="228">
        <v>2925</v>
      </c>
      <c r="M565" s="228">
        <v>751</v>
      </c>
      <c r="N565" s="202">
        <v>26993</v>
      </c>
      <c r="O565" s="202">
        <v>3552</v>
      </c>
      <c r="P565" s="202">
        <v>0</v>
      </c>
      <c r="Q565" s="228"/>
      <c r="R565" s="201"/>
      <c r="S565" s="225">
        <f t="shared" si="36"/>
        <v>0</v>
      </c>
      <c r="T565" s="229">
        <f t="shared" si="37"/>
        <v>0</v>
      </c>
      <c r="U565" s="226"/>
      <c r="V565" s="201"/>
      <c r="W565" s="226"/>
      <c r="X565" s="201"/>
      <c r="Y565" s="228"/>
      <c r="Z565" s="228"/>
      <c r="AA565" s="228"/>
      <c r="AB565" s="202"/>
      <c r="AC565" s="202"/>
      <c r="AD565" s="202"/>
      <c r="AE565" s="228"/>
      <c r="AF565" s="240"/>
    </row>
    <row r="566" spans="1:32" s="203" customFormat="1">
      <c r="A566" s="286" t="s">
        <v>133</v>
      </c>
      <c r="B566" s="288" t="s">
        <v>682</v>
      </c>
      <c r="C566" s="286">
        <v>409315</v>
      </c>
      <c r="D566" s="250">
        <v>8</v>
      </c>
      <c r="E566" s="225">
        <f t="shared" si="34"/>
        <v>351818</v>
      </c>
      <c r="F566" s="229">
        <f t="shared" si="35"/>
        <v>389267</v>
      </c>
      <c r="G566" s="226">
        <v>321919</v>
      </c>
      <c r="H566" s="201">
        <v>347498</v>
      </c>
      <c r="I566" s="226">
        <v>0</v>
      </c>
      <c r="J566" s="201">
        <v>0</v>
      </c>
      <c r="K566" s="228">
        <v>29629</v>
      </c>
      <c r="L566" s="228">
        <v>0</v>
      </c>
      <c r="M566" s="228">
        <v>270</v>
      </c>
      <c r="N566" s="202">
        <v>41649</v>
      </c>
      <c r="O566" s="202">
        <v>0</v>
      </c>
      <c r="P566" s="202">
        <v>120</v>
      </c>
      <c r="Q566" s="228"/>
      <c r="R566" s="201"/>
      <c r="S566" s="225">
        <f t="shared" si="36"/>
        <v>0</v>
      </c>
      <c r="T566" s="229">
        <f t="shared" si="37"/>
        <v>0</v>
      </c>
      <c r="U566" s="226"/>
      <c r="V566" s="201"/>
      <c r="W566" s="226"/>
      <c r="X566" s="201"/>
      <c r="Y566" s="228"/>
      <c r="Z566" s="228"/>
      <c r="AA566" s="228"/>
      <c r="AB566" s="202"/>
      <c r="AC566" s="202"/>
      <c r="AD566" s="202"/>
      <c r="AE566" s="228"/>
      <c r="AF566" s="240"/>
    </row>
    <row r="567" spans="1:32" s="220" customFormat="1">
      <c r="A567" s="286" t="s">
        <v>133</v>
      </c>
      <c r="B567" s="287" t="s">
        <v>683</v>
      </c>
      <c r="C567" s="286">
        <v>227854</v>
      </c>
      <c r="D567" s="250">
        <v>8</v>
      </c>
      <c r="E567" s="225">
        <f t="shared" si="34"/>
        <v>203113</v>
      </c>
      <c r="F567" s="229">
        <f t="shared" si="35"/>
        <v>200267</v>
      </c>
      <c r="G567" s="226">
        <v>179150</v>
      </c>
      <c r="H567" s="201">
        <v>173804</v>
      </c>
      <c r="I567" s="226">
        <v>3729</v>
      </c>
      <c r="J567" s="201">
        <v>2738</v>
      </c>
      <c r="K567" s="228">
        <v>18233</v>
      </c>
      <c r="L567" s="228">
        <v>6</v>
      </c>
      <c r="M567" s="228">
        <v>1995</v>
      </c>
      <c r="N567" s="202">
        <v>22591</v>
      </c>
      <c r="O567" s="202">
        <v>18</v>
      </c>
      <c r="P567" s="202">
        <v>1116</v>
      </c>
      <c r="Q567" s="228"/>
      <c r="R567" s="201"/>
      <c r="S567" s="225">
        <f t="shared" si="36"/>
        <v>0</v>
      </c>
      <c r="T567" s="229">
        <f t="shared" si="37"/>
        <v>0</v>
      </c>
      <c r="U567" s="226"/>
      <c r="V567" s="201"/>
      <c r="W567" s="226"/>
      <c r="X567" s="201"/>
      <c r="Y567" s="228"/>
      <c r="Z567" s="228"/>
      <c r="AA567" s="228"/>
      <c r="AB567" s="202"/>
      <c r="AC567" s="202"/>
      <c r="AD567" s="202"/>
      <c r="AE567" s="228"/>
      <c r="AF567" s="240"/>
    </row>
    <row r="568" spans="1:32" s="203" customFormat="1">
      <c r="A568" s="286" t="s">
        <v>133</v>
      </c>
      <c r="B568" s="287" t="s">
        <v>684</v>
      </c>
      <c r="C568" s="286">
        <v>228547</v>
      </c>
      <c r="D568" s="250">
        <v>8</v>
      </c>
      <c r="E568" s="225">
        <f t="shared" si="34"/>
        <v>689512</v>
      </c>
      <c r="F568" s="229">
        <f t="shared" si="35"/>
        <v>743632</v>
      </c>
      <c r="G568" s="226">
        <v>603583</v>
      </c>
      <c r="H568" s="201">
        <v>636988</v>
      </c>
      <c r="I568" s="226">
        <v>152</v>
      </c>
      <c r="J568" s="201">
        <v>217</v>
      </c>
      <c r="K568" s="228">
        <v>62513</v>
      </c>
      <c r="L568" s="228">
        <v>0</v>
      </c>
      <c r="M568" s="228">
        <v>23264</v>
      </c>
      <c r="N568" s="202">
        <v>81413</v>
      </c>
      <c r="O568" s="202">
        <v>0</v>
      </c>
      <c r="P568" s="202">
        <v>25014</v>
      </c>
      <c r="Q568" s="228"/>
      <c r="R568" s="201"/>
      <c r="S568" s="225">
        <f t="shared" si="36"/>
        <v>0</v>
      </c>
      <c r="T568" s="229">
        <f t="shared" si="37"/>
        <v>0</v>
      </c>
      <c r="U568" s="226"/>
      <c r="V568" s="201"/>
      <c r="W568" s="226"/>
      <c r="X568" s="201"/>
      <c r="Y568" s="228"/>
      <c r="Z568" s="228"/>
      <c r="AA568" s="228"/>
      <c r="AB568" s="202"/>
      <c r="AC568" s="202"/>
      <c r="AD568" s="202"/>
      <c r="AE568" s="228"/>
      <c r="AF568" s="240"/>
    </row>
    <row r="569" spans="1:32" s="203" customFormat="1">
      <c r="A569" s="286" t="s">
        <v>133</v>
      </c>
      <c r="B569" s="287" t="s">
        <v>685</v>
      </c>
      <c r="C569" s="286">
        <v>229072</v>
      </c>
      <c r="D569" s="250">
        <v>8</v>
      </c>
      <c r="E569" s="225">
        <f t="shared" si="34"/>
        <v>198852</v>
      </c>
      <c r="F569" s="229">
        <f t="shared" si="35"/>
        <v>182037</v>
      </c>
      <c r="G569" s="226">
        <v>187215</v>
      </c>
      <c r="H569" s="201">
        <v>170067</v>
      </c>
      <c r="I569" s="226">
        <v>6138</v>
      </c>
      <c r="J569" s="201">
        <v>5573</v>
      </c>
      <c r="K569" s="228">
        <v>5499</v>
      </c>
      <c r="L569" s="228">
        <v>0</v>
      </c>
      <c r="M569" s="228">
        <v>0</v>
      </c>
      <c r="N569" s="202">
        <v>6397</v>
      </c>
      <c r="O569" s="202">
        <v>0</v>
      </c>
      <c r="P569" s="202">
        <v>0</v>
      </c>
      <c r="Q569" s="228"/>
      <c r="R569" s="201"/>
      <c r="S569" s="225">
        <f t="shared" si="36"/>
        <v>0</v>
      </c>
      <c r="T569" s="229">
        <f t="shared" si="37"/>
        <v>0</v>
      </c>
      <c r="U569" s="226"/>
      <c r="V569" s="201"/>
      <c r="W569" s="226"/>
      <c r="X569" s="201"/>
      <c r="Y569" s="228"/>
      <c r="Z569" s="228"/>
      <c r="AA569" s="228"/>
      <c r="AB569" s="202"/>
      <c r="AC569" s="202"/>
      <c r="AD569" s="202"/>
      <c r="AE569" s="228"/>
      <c r="AF569" s="240"/>
    </row>
    <row r="570" spans="1:32" s="203" customFormat="1">
      <c r="A570" s="286" t="s">
        <v>133</v>
      </c>
      <c r="B570" s="287" t="s">
        <v>686</v>
      </c>
      <c r="C570" s="286">
        <v>229355</v>
      </c>
      <c r="D570" s="250">
        <v>8</v>
      </c>
      <c r="E570" s="225">
        <f t="shared" si="34"/>
        <v>198552</v>
      </c>
      <c r="F570" s="229">
        <f t="shared" si="35"/>
        <v>219523</v>
      </c>
      <c r="G570" s="226">
        <v>162345</v>
      </c>
      <c r="H570" s="201">
        <v>182810</v>
      </c>
      <c r="I570" s="226">
        <v>2204</v>
      </c>
      <c r="J570" s="201">
        <v>0</v>
      </c>
      <c r="K570" s="228">
        <v>31816</v>
      </c>
      <c r="L570" s="228">
        <v>0</v>
      </c>
      <c r="M570" s="228">
        <v>2187</v>
      </c>
      <c r="N570" s="202">
        <v>34841</v>
      </c>
      <c r="O570" s="202">
        <v>0</v>
      </c>
      <c r="P570" s="202">
        <v>1872</v>
      </c>
      <c r="Q570" s="228"/>
      <c r="R570" s="201"/>
      <c r="S570" s="225">
        <f t="shared" si="36"/>
        <v>0</v>
      </c>
      <c r="T570" s="229">
        <f t="shared" si="37"/>
        <v>0</v>
      </c>
      <c r="U570" s="226"/>
      <c r="V570" s="201"/>
      <c r="W570" s="226"/>
      <c r="X570" s="201"/>
      <c r="Y570" s="228"/>
      <c r="Z570" s="228"/>
      <c r="AA570" s="228"/>
      <c r="AB570" s="202"/>
      <c r="AC570" s="202"/>
      <c r="AD570" s="202"/>
      <c r="AE570" s="228"/>
      <c r="AF570" s="240"/>
    </row>
    <row r="571" spans="1:32" s="203" customFormat="1">
      <c r="A571" s="286" t="s">
        <v>133</v>
      </c>
      <c r="B571" s="287" t="s">
        <v>687</v>
      </c>
      <c r="C571" s="286">
        <v>222567</v>
      </c>
      <c r="D571" s="250">
        <v>9</v>
      </c>
      <c r="E571" s="225">
        <f t="shared" si="34"/>
        <v>90107</v>
      </c>
      <c r="F571" s="229">
        <f t="shared" si="35"/>
        <v>92482</v>
      </c>
      <c r="G571" s="226">
        <v>74230</v>
      </c>
      <c r="H571" s="201">
        <v>77189</v>
      </c>
      <c r="I571" s="226">
        <v>15649</v>
      </c>
      <c r="J571" s="201">
        <v>15167</v>
      </c>
      <c r="K571" s="228">
        <v>228</v>
      </c>
      <c r="L571" s="228">
        <v>0</v>
      </c>
      <c r="M571" s="228">
        <v>0</v>
      </c>
      <c r="N571" s="202">
        <v>126</v>
      </c>
      <c r="O571" s="202">
        <v>0</v>
      </c>
      <c r="P571" s="202">
        <v>0</v>
      </c>
      <c r="Q571" s="228"/>
      <c r="R571" s="201"/>
      <c r="S571" s="225">
        <f t="shared" si="36"/>
        <v>0</v>
      </c>
      <c r="T571" s="229">
        <f t="shared" si="37"/>
        <v>0</v>
      </c>
      <c r="U571" s="226"/>
      <c r="V571" s="201"/>
      <c r="W571" s="226"/>
      <c r="X571" s="201"/>
      <c r="Y571" s="228"/>
      <c r="Z571" s="228"/>
      <c r="AA571" s="228"/>
      <c r="AB571" s="202"/>
      <c r="AC571" s="202"/>
      <c r="AD571" s="202"/>
      <c r="AE571" s="228"/>
      <c r="AF571" s="240"/>
    </row>
    <row r="572" spans="1:32" s="203" customFormat="1">
      <c r="A572" s="286" t="s">
        <v>133</v>
      </c>
      <c r="B572" s="287" t="s">
        <v>688</v>
      </c>
      <c r="C572" s="286">
        <v>222822</v>
      </c>
      <c r="D572" s="250">
        <v>9</v>
      </c>
      <c r="E572" s="225">
        <f t="shared" si="34"/>
        <v>94546</v>
      </c>
      <c r="F572" s="229">
        <f t="shared" si="35"/>
        <v>95537</v>
      </c>
      <c r="G572" s="226">
        <v>72588</v>
      </c>
      <c r="H572" s="201">
        <v>70067</v>
      </c>
      <c r="I572" s="226">
        <v>10677</v>
      </c>
      <c r="J572" s="201">
        <v>11798</v>
      </c>
      <c r="K572" s="228">
        <v>8822</v>
      </c>
      <c r="L572" s="228">
        <v>2459</v>
      </c>
      <c r="M572" s="228">
        <v>0</v>
      </c>
      <c r="N572" s="202">
        <v>9432</v>
      </c>
      <c r="O572" s="202">
        <v>4220</v>
      </c>
      <c r="P572" s="202">
        <v>20</v>
      </c>
      <c r="Q572" s="228"/>
      <c r="R572" s="201"/>
      <c r="S572" s="225">
        <f t="shared" si="36"/>
        <v>0</v>
      </c>
      <c r="T572" s="229">
        <f t="shared" si="37"/>
        <v>0</v>
      </c>
      <c r="U572" s="226"/>
      <c r="V572" s="201"/>
      <c r="W572" s="226"/>
      <c r="X572" s="201"/>
      <c r="Y572" s="228"/>
      <c r="Z572" s="228"/>
      <c r="AA572" s="228"/>
      <c r="AB572" s="202"/>
      <c r="AC572" s="202"/>
      <c r="AD572" s="202"/>
      <c r="AE572" s="228"/>
      <c r="AF572" s="240"/>
    </row>
    <row r="573" spans="1:32" s="203" customFormat="1">
      <c r="A573" s="286" t="s">
        <v>133</v>
      </c>
      <c r="B573" s="288" t="s">
        <v>689</v>
      </c>
      <c r="C573" s="286">
        <v>223506</v>
      </c>
      <c r="D573" s="250">
        <v>9</v>
      </c>
      <c r="E573" s="225">
        <f t="shared" si="34"/>
        <v>68091</v>
      </c>
      <c r="F573" s="229">
        <f t="shared" si="35"/>
        <v>68012</v>
      </c>
      <c r="G573" s="226">
        <v>60438</v>
      </c>
      <c r="H573" s="201">
        <v>57121</v>
      </c>
      <c r="I573" s="226">
        <v>2243</v>
      </c>
      <c r="J573" s="201">
        <v>4039</v>
      </c>
      <c r="K573" s="228">
        <v>5410</v>
      </c>
      <c r="L573" s="228">
        <v>0</v>
      </c>
      <c r="M573" s="228">
        <v>0</v>
      </c>
      <c r="N573" s="202">
        <v>6852</v>
      </c>
      <c r="O573" s="202">
        <v>0</v>
      </c>
      <c r="P573" s="202">
        <v>0</v>
      </c>
      <c r="Q573" s="228"/>
      <c r="R573" s="201"/>
      <c r="S573" s="225">
        <f t="shared" si="36"/>
        <v>0</v>
      </c>
      <c r="T573" s="229">
        <f t="shared" si="37"/>
        <v>0</v>
      </c>
      <c r="U573" s="226"/>
      <c r="V573" s="201"/>
      <c r="W573" s="226"/>
      <c r="X573" s="201"/>
      <c r="Y573" s="228"/>
      <c r="Z573" s="228"/>
      <c r="AA573" s="228"/>
      <c r="AB573" s="202"/>
      <c r="AC573" s="202"/>
      <c r="AD573" s="202"/>
      <c r="AE573" s="228"/>
      <c r="AF573" s="240"/>
    </row>
    <row r="574" spans="1:32" s="203" customFormat="1">
      <c r="A574" s="286" t="s">
        <v>133</v>
      </c>
      <c r="B574" s="287" t="s">
        <v>690</v>
      </c>
      <c r="C574" s="286">
        <v>223773</v>
      </c>
      <c r="D574" s="250">
        <v>9</v>
      </c>
      <c r="E574" s="225">
        <f t="shared" si="34"/>
        <v>87876</v>
      </c>
      <c r="F574" s="229">
        <f t="shared" si="35"/>
        <v>89646</v>
      </c>
      <c r="G574" s="226">
        <v>64337</v>
      </c>
      <c r="H574" s="201">
        <v>60035</v>
      </c>
      <c r="I574" s="226">
        <v>108</v>
      </c>
      <c r="J574" s="201">
        <v>3059</v>
      </c>
      <c r="K574" s="228">
        <v>23080</v>
      </c>
      <c r="L574" s="228">
        <v>0</v>
      </c>
      <c r="M574" s="228">
        <v>351</v>
      </c>
      <c r="N574" s="202">
        <v>26381</v>
      </c>
      <c r="O574" s="202">
        <v>0</v>
      </c>
      <c r="P574" s="202">
        <v>171</v>
      </c>
      <c r="Q574" s="228"/>
      <c r="R574" s="201"/>
      <c r="S574" s="225">
        <f t="shared" si="36"/>
        <v>0</v>
      </c>
      <c r="T574" s="229">
        <f t="shared" si="37"/>
        <v>0</v>
      </c>
      <c r="U574" s="226"/>
      <c r="V574" s="201"/>
      <c r="W574" s="226"/>
      <c r="X574" s="201"/>
      <c r="Y574" s="228"/>
      <c r="Z574" s="228"/>
      <c r="AA574" s="228"/>
      <c r="AB574" s="202"/>
      <c r="AC574" s="202"/>
      <c r="AD574" s="202"/>
      <c r="AE574" s="228"/>
      <c r="AF574" s="240"/>
    </row>
    <row r="575" spans="1:32" s="203" customFormat="1">
      <c r="A575" s="286" t="s">
        <v>133</v>
      </c>
      <c r="B575" s="287" t="s">
        <v>691</v>
      </c>
      <c r="C575" s="286">
        <v>223320</v>
      </c>
      <c r="D575" s="250">
        <v>9</v>
      </c>
      <c r="E575" s="225">
        <f t="shared" si="34"/>
        <v>60236</v>
      </c>
      <c r="F575" s="229">
        <f t="shared" si="35"/>
        <v>67522</v>
      </c>
      <c r="G575" s="226">
        <v>22394</v>
      </c>
      <c r="H575" s="201">
        <v>23886</v>
      </c>
      <c r="I575" s="226">
        <v>28677</v>
      </c>
      <c r="J575" s="201">
        <v>31912</v>
      </c>
      <c r="K575" s="228">
        <v>7533</v>
      </c>
      <c r="L575" s="228">
        <v>1632</v>
      </c>
      <c r="M575" s="228">
        <v>0</v>
      </c>
      <c r="N575" s="202">
        <v>9232</v>
      </c>
      <c r="O575" s="202">
        <v>2489</v>
      </c>
      <c r="P575" s="202">
        <v>3</v>
      </c>
      <c r="Q575" s="228"/>
      <c r="R575" s="201"/>
      <c r="S575" s="225">
        <f t="shared" si="36"/>
        <v>0</v>
      </c>
      <c r="T575" s="229">
        <f t="shared" si="37"/>
        <v>0</v>
      </c>
      <c r="U575" s="226"/>
      <c r="V575" s="201"/>
      <c r="W575" s="226"/>
      <c r="X575" s="201"/>
      <c r="Y575" s="228"/>
      <c r="Z575" s="228"/>
      <c r="AA575" s="228"/>
      <c r="AB575" s="202"/>
      <c r="AC575" s="202"/>
      <c r="AD575" s="202"/>
      <c r="AE575" s="228"/>
      <c r="AF575" s="240"/>
    </row>
    <row r="576" spans="1:32" s="203" customFormat="1">
      <c r="A576" s="286" t="s">
        <v>133</v>
      </c>
      <c r="B576" s="287" t="s">
        <v>692</v>
      </c>
      <c r="C576" s="286">
        <v>226408</v>
      </c>
      <c r="D576" s="250">
        <v>9</v>
      </c>
      <c r="E576" s="225">
        <f t="shared" si="34"/>
        <v>70586</v>
      </c>
      <c r="F576" s="229">
        <f t="shared" si="35"/>
        <v>72503</v>
      </c>
      <c r="G576" s="226">
        <v>66799</v>
      </c>
      <c r="H576" s="201">
        <v>68069</v>
      </c>
      <c r="I576" s="226">
        <v>3733</v>
      </c>
      <c r="J576" s="201">
        <v>4434</v>
      </c>
      <c r="K576" s="228">
        <v>54</v>
      </c>
      <c r="L576" s="228">
        <v>0</v>
      </c>
      <c r="M576" s="228">
        <v>0</v>
      </c>
      <c r="N576" s="202">
        <v>0</v>
      </c>
      <c r="O576" s="202">
        <v>0</v>
      </c>
      <c r="P576" s="202">
        <v>0</v>
      </c>
      <c r="Q576" s="228"/>
      <c r="R576" s="201"/>
      <c r="S576" s="225">
        <f t="shared" si="36"/>
        <v>0</v>
      </c>
      <c r="T576" s="229">
        <f t="shared" si="37"/>
        <v>0</v>
      </c>
      <c r="U576" s="226"/>
      <c r="V576" s="201"/>
      <c r="W576" s="226"/>
      <c r="X576" s="201"/>
      <c r="Y576" s="228"/>
      <c r="Z576" s="228"/>
      <c r="AA576" s="228"/>
      <c r="AB576" s="202"/>
      <c r="AC576" s="202"/>
      <c r="AD576" s="202"/>
      <c r="AE576" s="228"/>
      <c r="AF576" s="240"/>
    </row>
    <row r="577" spans="1:32" s="203" customFormat="1">
      <c r="A577" s="286" t="s">
        <v>133</v>
      </c>
      <c r="B577" s="288" t="s">
        <v>836</v>
      </c>
      <c r="C577" s="286">
        <v>224615</v>
      </c>
      <c r="D577" s="250">
        <v>9</v>
      </c>
      <c r="E577" s="225">
        <f t="shared" si="34"/>
        <v>118250</v>
      </c>
      <c r="F577" s="229">
        <f t="shared" si="35"/>
        <v>126544</v>
      </c>
      <c r="G577" s="226">
        <v>105550</v>
      </c>
      <c r="H577" s="201">
        <v>104894</v>
      </c>
      <c r="I577" s="226">
        <v>0</v>
      </c>
      <c r="J577" s="201">
        <v>0</v>
      </c>
      <c r="K577" s="228">
        <v>12071</v>
      </c>
      <c r="L577" s="228">
        <v>0</v>
      </c>
      <c r="M577" s="228">
        <v>629</v>
      </c>
      <c r="N577" s="202">
        <v>21095</v>
      </c>
      <c r="O577" s="202">
        <v>0</v>
      </c>
      <c r="P577" s="202">
        <v>555</v>
      </c>
      <c r="Q577" s="228"/>
      <c r="R577" s="201"/>
      <c r="S577" s="225">
        <f t="shared" si="36"/>
        <v>0</v>
      </c>
      <c r="T577" s="229">
        <f t="shared" si="37"/>
        <v>0</v>
      </c>
      <c r="U577" s="226"/>
      <c r="V577" s="201"/>
      <c r="W577" s="226"/>
      <c r="X577" s="201"/>
      <c r="Y577" s="228"/>
      <c r="Z577" s="228"/>
      <c r="AA577" s="228"/>
      <c r="AB577" s="202"/>
      <c r="AC577" s="202"/>
      <c r="AD577" s="202"/>
      <c r="AE577" s="228"/>
      <c r="AF577" s="240"/>
    </row>
    <row r="578" spans="1:32" s="203" customFormat="1">
      <c r="A578" s="286" t="s">
        <v>133</v>
      </c>
      <c r="B578" s="287" t="s">
        <v>693</v>
      </c>
      <c r="C578" s="286">
        <v>225070</v>
      </c>
      <c r="D578" s="250">
        <v>9</v>
      </c>
      <c r="E578" s="225">
        <f t="shared" si="34"/>
        <v>81940</v>
      </c>
      <c r="F578" s="229">
        <f t="shared" si="35"/>
        <v>85715</v>
      </c>
      <c r="G578" s="226">
        <v>63081</v>
      </c>
      <c r="H578" s="201">
        <v>64893</v>
      </c>
      <c r="I578" s="226">
        <v>447</v>
      </c>
      <c r="J578" s="201">
        <v>660</v>
      </c>
      <c r="K578" s="228">
        <v>16944</v>
      </c>
      <c r="L578" s="228">
        <v>0</v>
      </c>
      <c r="M578" s="228">
        <v>1468</v>
      </c>
      <c r="N578" s="202">
        <v>18683</v>
      </c>
      <c r="O578" s="202">
        <v>0</v>
      </c>
      <c r="P578" s="202">
        <v>1479</v>
      </c>
      <c r="Q578" s="228"/>
      <c r="R578" s="201"/>
      <c r="S578" s="225">
        <f t="shared" si="36"/>
        <v>0</v>
      </c>
      <c r="T578" s="229">
        <f t="shared" si="37"/>
        <v>0</v>
      </c>
      <c r="U578" s="226"/>
      <c r="V578" s="201"/>
      <c r="W578" s="226"/>
      <c r="X578" s="201"/>
      <c r="Y578" s="228"/>
      <c r="Z578" s="228"/>
      <c r="AA578" s="228"/>
      <c r="AB578" s="202"/>
      <c r="AC578" s="202"/>
      <c r="AD578" s="202"/>
      <c r="AE578" s="228"/>
      <c r="AF578" s="240"/>
    </row>
    <row r="579" spans="1:32" s="203" customFormat="1">
      <c r="A579" s="286" t="s">
        <v>133</v>
      </c>
      <c r="B579" s="287" t="s">
        <v>694</v>
      </c>
      <c r="C579" s="286">
        <v>225520</v>
      </c>
      <c r="D579" s="250">
        <v>9</v>
      </c>
      <c r="E579" s="225">
        <f t="shared" si="34"/>
        <v>58541</v>
      </c>
      <c r="F579" s="229">
        <f t="shared" si="35"/>
        <v>61905</v>
      </c>
      <c r="G579" s="226">
        <v>20549</v>
      </c>
      <c r="H579" s="201">
        <v>19184</v>
      </c>
      <c r="I579" s="226">
        <v>26421</v>
      </c>
      <c r="J579" s="201">
        <v>28712</v>
      </c>
      <c r="K579" s="228">
        <v>9726</v>
      </c>
      <c r="L579" s="228">
        <v>1707</v>
      </c>
      <c r="M579" s="228">
        <v>138</v>
      </c>
      <c r="N579" s="202">
        <v>11337</v>
      </c>
      <c r="O579" s="202">
        <v>2510</v>
      </c>
      <c r="P579" s="202">
        <v>162</v>
      </c>
      <c r="Q579" s="228"/>
      <c r="R579" s="201"/>
      <c r="S579" s="225">
        <f t="shared" si="36"/>
        <v>0</v>
      </c>
      <c r="T579" s="229">
        <f t="shared" si="37"/>
        <v>0</v>
      </c>
      <c r="U579" s="226"/>
      <c r="V579" s="201"/>
      <c r="W579" s="226"/>
      <c r="X579" s="201"/>
      <c r="Y579" s="228"/>
      <c r="Z579" s="228"/>
      <c r="AA579" s="228"/>
      <c r="AB579" s="202"/>
      <c r="AC579" s="202"/>
      <c r="AD579" s="202"/>
      <c r="AE579" s="228"/>
      <c r="AF579" s="240"/>
    </row>
    <row r="580" spans="1:32" s="203" customFormat="1">
      <c r="A580" s="286" t="s">
        <v>133</v>
      </c>
      <c r="B580" s="287" t="s">
        <v>695</v>
      </c>
      <c r="C580" s="286">
        <v>226019</v>
      </c>
      <c r="D580" s="250">
        <v>9</v>
      </c>
      <c r="E580" s="225">
        <f t="shared" si="34"/>
        <v>110628</v>
      </c>
      <c r="F580" s="229">
        <f t="shared" si="35"/>
        <v>117934</v>
      </c>
      <c r="G580" s="226">
        <v>78090</v>
      </c>
      <c r="H580" s="201">
        <v>80724</v>
      </c>
      <c r="I580" s="226">
        <v>22935</v>
      </c>
      <c r="J580" s="201">
        <v>25042</v>
      </c>
      <c r="K580" s="228">
        <v>8487</v>
      </c>
      <c r="L580" s="228">
        <v>276</v>
      </c>
      <c r="M580" s="228">
        <v>840</v>
      </c>
      <c r="N580" s="202">
        <v>11433</v>
      </c>
      <c r="O580" s="202">
        <v>369</v>
      </c>
      <c r="P580" s="202">
        <v>366</v>
      </c>
      <c r="Q580" s="228"/>
      <c r="R580" s="201"/>
      <c r="S580" s="225">
        <f t="shared" si="36"/>
        <v>0</v>
      </c>
      <c r="T580" s="229">
        <f t="shared" si="37"/>
        <v>0</v>
      </c>
      <c r="U580" s="226"/>
      <c r="V580" s="201"/>
      <c r="W580" s="226"/>
      <c r="X580" s="201"/>
      <c r="Y580" s="228"/>
      <c r="Z580" s="228"/>
      <c r="AA580" s="228"/>
      <c r="AB580" s="202"/>
      <c r="AC580" s="202"/>
      <c r="AD580" s="202"/>
      <c r="AE580" s="228"/>
      <c r="AF580" s="240"/>
    </row>
    <row r="581" spans="1:32" s="203" customFormat="1">
      <c r="A581" s="286" t="s">
        <v>133</v>
      </c>
      <c r="B581" s="381" t="s">
        <v>696</v>
      </c>
      <c r="C581" s="382">
        <v>441760</v>
      </c>
      <c r="D581" s="383">
        <v>9</v>
      </c>
      <c r="E581" s="225">
        <f t="shared" si="34"/>
        <v>54924</v>
      </c>
      <c r="F581" s="229">
        <f t="shared" si="35"/>
        <v>60476</v>
      </c>
      <c r="G581" s="226">
        <v>51710</v>
      </c>
      <c r="H581" s="201">
        <v>57244</v>
      </c>
      <c r="I581" s="226">
        <v>162</v>
      </c>
      <c r="J581" s="201">
        <v>0</v>
      </c>
      <c r="K581" s="228">
        <v>3052</v>
      </c>
      <c r="L581" s="228">
        <v>0</v>
      </c>
      <c r="M581" s="228">
        <v>0</v>
      </c>
      <c r="N581" s="202">
        <v>3232</v>
      </c>
      <c r="O581" s="202">
        <v>0</v>
      </c>
      <c r="P581" s="202">
        <v>0</v>
      </c>
      <c r="Q581" s="228"/>
      <c r="R581" s="201"/>
      <c r="S581" s="225">
        <f t="shared" si="36"/>
        <v>0</v>
      </c>
      <c r="T581" s="229">
        <f t="shared" si="37"/>
        <v>0</v>
      </c>
      <c r="U581" s="226"/>
      <c r="V581" s="201"/>
      <c r="W581" s="226"/>
      <c r="X581" s="201"/>
      <c r="Y581" s="228"/>
      <c r="Z581" s="228"/>
      <c r="AA581" s="228"/>
      <c r="AB581" s="202"/>
      <c r="AC581" s="202"/>
      <c r="AD581" s="202"/>
      <c r="AE581" s="228"/>
      <c r="AF581" s="240"/>
    </row>
    <row r="582" spans="1:32" s="203" customFormat="1">
      <c r="A582" s="286" t="s">
        <v>133</v>
      </c>
      <c r="B582" s="287" t="s">
        <v>697</v>
      </c>
      <c r="C582" s="286">
        <v>226204</v>
      </c>
      <c r="D582" s="250">
        <v>9</v>
      </c>
      <c r="E582" s="225">
        <f t="shared" ref="E582:E635" si="38">SUM(G582,I582,K582,L582,M582,Q582)</f>
        <v>123030</v>
      </c>
      <c r="F582" s="229">
        <f t="shared" ref="F582:F635" si="39">SUM(H582,J582,N582,O582,P582,R582)</f>
        <v>125005</v>
      </c>
      <c r="G582" s="226">
        <v>99763</v>
      </c>
      <c r="H582" s="201">
        <v>100000</v>
      </c>
      <c r="I582" s="226">
        <v>19523</v>
      </c>
      <c r="J582" s="201">
        <v>19964</v>
      </c>
      <c r="K582" s="228">
        <v>841</v>
      </c>
      <c r="L582" s="228">
        <v>0</v>
      </c>
      <c r="M582" s="228">
        <v>2903</v>
      </c>
      <c r="N582" s="202">
        <v>1182</v>
      </c>
      <c r="O582" s="202">
        <v>0</v>
      </c>
      <c r="P582" s="202">
        <v>3859</v>
      </c>
      <c r="Q582" s="228"/>
      <c r="R582" s="201"/>
      <c r="S582" s="225">
        <f t="shared" ref="S582:S635" si="40">SUM(U582,W582,Y582,Z582,AA582,AE582)</f>
        <v>0</v>
      </c>
      <c r="T582" s="229">
        <f t="shared" ref="T582:T635" si="41">SUM(V582,X582,AB582,AC582,AD582,AF582)</f>
        <v>0</v>
      </c>
      <c r="U582" s="226"/>
      <c r="V582" s="201"/>
      <c r="W582" s="226"/>
      <c r="X582" s="201"/>
      <c r="Y582" s="228"/>
      <c r="Z582" s="228"/>
      <c r="AA582" s="228"/>
      <c r="AB582" s="202"/>
      <c r="AC582" s="202"/>
      <c r="AD582" s="202"/>
      <c r="AE582" s="228"/>
      <c r="AF582" s="240"/>
    </row>
    <row r="583" spans="1:32" s="203" customFormat="1">
      <c r="A583" s="286" t="s">
        <v>133</v>
      </c>
      <c r="B583" s="287" t="s">
        <v>698</v>
      </c>
      <c r="C583" s="286">
        <v>226578</v>
      </c>
      <c r="D583" s="250">
        <v>9</v>
      </c>
      <c r="E583" s="225">
        <f t="shared" si="38"/>
        <v>173022</v>
      </c>
      <c r="F583" s="229">
        <f t="shared" si="39"/>
        <v>170680</v>
      </c>
      <c r="G583" s="226">
        <v>143539</v>
      </c>
      <c r="H583" s="201">
        <v>138129</v>
      </c>
      <c r="I583" s="226">
        <v>1278</v>
      </c>
      <c r="J583" s="201">
        <v>60</v>
      </c>
      <c r="K583" s="228">
        <v>27116</v>
      </c>
      <c r="L583" s="228">
        <v>1089</v>
      </c>
      <c r="M583" s="228">
        <v>0</v>
      </c>
      <c r="N583" s="202">
        <v>31387</v>
      </c>
      <c r="O583" s="202">
        <v>1104</v>
      </c>
      <c r="P583" s="202">
        <v>0</v>
      </c>
      <c r="Q583" s="228"/>
      <c r="R583" s="201"/>
      <c r="S583" s="225">
        <f t="shared" si="40"/>
        <v>0</v>
      </c>
      <c r="T583" s="229">
        <f t="shared" si="41"/>
        <v>0</v>
      </c>
      <c r="U583" s="226"/>
      <c r="V583" s="201"/>
      <c r="W583" s="226"/>
      <c r="X583" s="201"/>
      <c r="Y583" s="228"/>
      <c r="Z583" s="228"/>
      <c r="AA583" s="228"/>
      <c r="AB583" s="202"/>
      <c r="AC583" s="202"/>
      <c r="AD583" s="202"/>
      <c r="AE583" s="228"/>
      <c r="AF583" s="240"/>
    </row>
    <row r="584" spans="1:32" s="203" customFormat="1">
      <c r="A584" s="286" t="s">
        <v>133</v>
      </c>
      <c r="B584" s="288" t="s">
        <v>699</v>
      </c>
      <c r="C584" s="286">
        <v>226806</v>
      </c>
      <c r="D584" s="250">
        <v>9</v>
      </c>
      <c r="E584" s="225">
        <f t="shared" si="38"/>
        <v>110562</v>
      </c>
      <c r="F584" s="229">
        <f t="shared" si="39"/>
        <v>111923</v>
      </c>
      <c r="G584" s="226">
        <v>77471</v>
      </c>
      <c r="H584" s="201">
        <v>76385</v>
      </c>
      <c r="I584" s="226">
        <v>3512</v>
      </c>
      <c r="J584" s="201">
        <v>3087</v>
      </c>
      <c r="K584" s="228">
        <v>27546</v>
      </c>
      <c r="L584" s="228">
        <v>2033</v>
      </c>
      <c r="M584" s="228">
        <v>0</v>
      </c>
      <c r="N584" s="202">
        <v>30502</v>
      </c>
      <c r="O584" s="202">
        <v>1949</v>
      </c>
      <c r="P584" s="202">
        <v>0</v>
      </c>
      <c r="Q584" s="228"/>
      <c r="R584" s="201"/>
      <c r="S584" s="225">
        <f t="shared" si="40"/>
        <v>0</v>
      </c>
      <c r="T584" s="229">
        <f t="shared" si="41"/>
        <v>0</v>
      </c>
      <c r="U584" s="226"/>
      <c r="V584" s="201"/>
      <c r="W584" s="226"/>
      <c r="X584" s="201"/>
      <c r="Y584" s="228"/>
      <c r="Z584" s="228"/>
      <c r="AA584" s="228"/>
      <c r="AB584" s="202"/>
      <c r="AC584" s="202"/>
      <c r="AD584" s="202"/>
      <c r="AE584" s="228"/>
      <c r="AF584" s="240"/>
    </row>
    <row r="585" spans="1:32" s="203" customFormat="1">
      <c r="A585" s="286" t="s">
        <v>133</v>
      </c>
      <c r="B585" s="287" t="s">
        <v>700</v>
      </c>
      <c r="C585" s="286">
        <v>226930</v>
      </c>
      <c r="D585" s="250">
        <v>9</v>
      </c>
      <c r="E585" s="225">
        <f t="shared" si="38"/>
        <v>116688</v>
      </c>
      <c r="F585" s="229">
        <f t="shared" si="39"/>
        <v>117179</v>
      </c>
      <c r="G585" s="226">
        <v>99344</v>
      </c>
      <c r="H585" s="201">
        <v>97362</v>
      </c>
      <c r="I585" s="226">
        <v>0</v>
      </c>
      <c r="J585" s="201">
        <v>0</v>
      </c>
      <c r="K585" s="228">
        <v>17251</v>
      </c>
      <c r="L585" s="228">
        <v>0</v>
      </c>
      <c r="M585" s="228">
        <v>93</v>
      </c>
      <c r="N585" s="202">
        <v>19796</v>
      </c>
      <c r="O585" s="202">
        <v>0</v>
      </c>
      <c r="P585" s="202">
        <v>21</v>
      </c>
      <c r="Q585" s="228"/>
      <c r="R585" s="201"/>
      <c r="S585" s="225">
        <f t="shared" si="40"/>
        <v>0</v>
      </c>
      <c r="T585" s="229">
        <f t="shared" si="41"/>
        <v>0</v>
      </c>
      <c r="U585" s="226"/>
      <c r="V585" s="201"/>
      <c r="W585" s="226"/>
      <c r="X585" s="201"/>
      <c r="Y585" s="228"/>
      <c r="Z585" s="228"/>
      <c r="AA585" s="228"/>
      <c r="AB585" s="202"/>
      <c r="AC585" s="202"/>
      <c r="AD585" s="202"/>
      <c r="AE585" s="228"/>
      <c r="AF585" s="240"/>
    </row>
    <row r="586" spans="1:32" s="203" customFormat="1">
      <c r="A586" s="286" t="s">
        <v>133</v>
      </c>
      <c r="B586" s="288" t="s">
        <v>701</v>
      </c>
      <c r="C586" s="286">
        <v>224110</v>
      </c>
      <c r="D586" s="250">
        <v>9</v>
      </c>
      <c r="E586" s="225">
        <f t="shared" si="38"/>
        <v>141224</v>
      </c>
      <c r="F586" s="229">
        <f t="shared" si="39"/>
        <v>150625</v>
      </c>
      <c r="G586" s="226">
        <v>31308</v>
      </c>
      <c r="H586" s="201">
        <v>31797</v>
      </c>
      <c r="I586" s="226">
        <v>98527</v>
      </c>
      <c r="J586" s="201">
        <v>99834</v>
      </c>
      <c r="K586" s="228">
        <v>8818</v>
      </c>
      <c r="L586" s="228">
        <v>873</v>
      </c>
      <c r="M586" s="228">
        <v>1698</v>
      </c>
      <c r="N586" s="202">
        <v>17802</v>
      </c>
      <c r="O586" s="202">
        <v>138</v>
      </c>
      <c r="P586" s="202">
        <v>1054</v>
      </c>
      <c r="Q586" s="228"/>
      <c r="R586" s="201"/>
      <c r="S586" s="225">
        <f t="shared" si="40"/>
        <v>0</v>
      </c>
      <c r="T586" s="229">
        <f t="shared" si="41"/>
        <v>0</v>
      </c>
      <c r="U586" s="226"/>
      <c r="V586" s="201"/>
      <c r="W586" s="226"/>
      <c r="X586" s="201"/>
      <c r="Y586" s="228"/>
      <c r="Z586" s="228"/>
      <c r="AA586" s="228"/>
      <c r="AB586" s="202"/>
      <c r="AC586" s="202"/>
      <c r="AD586" s="202"/>
      <c r="AE586" s="228"/>
      <c r="AF586" s="240"/>
    </row>
    <row r="587" spans="1:32" s="203" customFormat="1">
      <c r="A587" s="286" t="s">
        <v>133</v>
      </c>
      <c r="B587" s="287" t="s">
        <v>702</v>
      </c>
      <c r="C587" s="286">
        <v>227304</v>
      </c>
      <c r="D587" s="250">
        <v>9</v>
      </c>
      <c r="E587" s="225">
        <f t="shared" si="38"/>
        <v>83460</v>
      </c>
      <c r="F587" s="229">
        <f t="shared" si="39"/>
        <v>86763</v>
      </c>
      <c r="G587" s="226">
        <v>60598</v>
      </c>
      <c r="H587" s="201">
        <v>57663</v>
      </c>
      <c r="I587" s="226">
        <v>7601</v>
      </c>
      <c r="J587" s="201">
        <v>7053</v>
      </c>
      <c r="K587" s="228">
        <v>15261</v>
      </c>
      <c r="L587" s="228">
        <v>0</v>
      </c>
      <c r="M587" s="228">
        <v>0</v>
      </c>
      <c r="N587" s="202">
        <v>22047</v>
      </c>
      <c r="O587" s="202">
        <v>0</v>
      </c>
      <c r="P587" s="202">
        <v>0</v>
      </c>
      <c r="Q587" s="228"/>
      <c r="R587" s="201"/>
      <c r="S587" s="225">
        <f t="shared" si="40"/>
        <v>0</v>
      </c>
      <c r="T587" s="229">
        <f t="shared" si="41"/>
        <v>0</v>
      </c>
      <c r="U587" s="226"/>
      <c r="V587" s="201"/>
      <c r="W587" s="226"/>
      <c r="X587" s="201"/>
      <c r="Y587" s="228"/>
      <c r="Z587" s="228"/>
      <c r="AA587" s="228"/>
      <c r="AB587" s="202"/>
      <c r="AC587" s="202"/>
      <c r="AD587" s="202"/>
      <c r="AE587" s="228"/>
      <c r="AF587" s="240"/>
    </row>
    <row r="588" spans="1:32" s="203" customFormat="1">
      <c r="A588" s="286" t="s">
        <v>133</v>
      </c>
      <c r="B588" s="287" t="s">
        <v>703</v>
      </c>
      <c r="C588" s="286">
        <v>227401</v>
      </c>
      <c r="D588" s="250">
        <v>9</v>
      </c>
      <c r="E588" s="225">
        <f t="shared" si="38"/>
        <v>87880</v>
      </c>
      <c r="F588" s="229">
        <f t="shared" si="39"/>
        <v>92944</v>
      </c>
      <c r="G588" s="226">
        <v>40836</v>
      </c>
      <c r="H588" s="201">
        <v>41769</v>
      </c>
      <c r="I588" s="226">
        <v>33266</v>
      </c>
      <c r="J588" s="201">
        <v>33538</v>
      </c>
      <c r="K588" s="228">
        <v>11990</v>
      </c>
      <c r="L588" s="228">
        <v>1725</v>
      </c>
      <c r="M588" s="228">
        <v>63</v>
      </c>
      <c r="N588" s="202">
        <v>14977</v>
      </c>
      <c r="O588" s="202">
        <v>2660</v>
      </c>
      <c r="P588" s="202">
        <v>0</v>
      </c>
      <c r="Q588" s="228"/>
      <c r="R588" s="201"/>
      <c r="S588" s="225">
        <f t="shared" si="40"/>
        <v>0</v>
      </c>
      <c r="T588" s="229">
        <f t="shared" si="41"/>
        <v>0</v>
      </c>
      <c r="U588" s="226"/>
      <c r="V588" s="201"/>
      <c r="W588" s="226"/>
      <c r="X588" s="201"/>
      <c r="Y588" s="228"/>
      <c r="Z588" s="228"/>
      <c r="AA588" s="228"/>
      <c r="AB588" s="202"/>
      <c r="AC588" s="202"/>
      <c r="AD588" s="202"/>
      <c r="AE588" s="228"/>
      <c r="AF588" s="240"/>
    </row>
    <row r="589" spans="1:32" s="203" customFormat="1">
      <c r="A589" s="286" t="s">
        <v>133</v>
      </c>
      <c r="B589" s="287" t="s">
        <v>704</v>
      </c>
      <c r="C589" s="286">
        <v>228316</v>
      </c>
      <c r="D589" s="250">
        <v>9</v>
      </c>
      <c r="E589" s="225">
        <f t="shared" si="38"/>
        <v>94038</v>
      </c>
      <c r="F589" s="229">
        <f t="shared" si="39"/>
        <v>93170</v>
      </c>
      <c r="G589" s="226">
        <v>25886</v>
      </c>
      <c r="H589" s="201">
        <v>25619</v>
      </c>
      <c r="I589" s="226">
        <v>45605</v>
      </c>
      <c r="J589" s="201">
        <v>44587</v>
      </c>
      <c r="K589" s="228">
        <v>6882</v>
      </c>
      <c r="L589" s="228">
        <v>15665</v>
      </c>
      <c r="M589" s="228">
        <v>0</v>
      </c>
      <c r="N589" s="202">
        <v>6668</v>
      </c>
      <c r="O589" s="202">
        <v>16296</v>
      </c>
      <c r="P589" s="202">
        <v>0</v>
      </c>
      <c r="Q589" s="228"/>
      <c r="R589" s="201"/>
      <c r="S589" s="225">
        <f t="shared" si="40"/>
        <v>0</v>
      </c>
      <c r="T589" s="229">
        <f t="shared" si="41"/>
        <v>0</v>
      </c>
      <c r="U589" s="226"/>
      <c r="V589" s="201"/>
      <c r="W589" s="226"/>
      <c r="X589" s="201"/>
      <c r="Y589" s="228"/>
      <c r="Z589" s="228"/>
      <c r="AA589" s="228"/>
      <c r="AB589" s="202"/>
      <c r="AC589" s="202"/>
      <c r="AD589" s="202"/>
      <c r="AE589" s="228"/>
      <c r="AF589" s="240"/>
    </row>
    <row r="590" spans="1:32" s="203" customFormat="1">
      <c r="A590" s="286" t="s">
        <v>133</v>
      </c>
      <c r="B590" s="287" t="s">
        <v>705</v>
      </c>
      <c r="C590" s="286">
        <v>228608</v>
      </c>
      <c r="D590" s="250">
        <v>9</v>
      </c>
      <c r="E590" s="225">
        <f t="shared" si="38"/>
        <v>90010</v>
      </c>
      <c r="F590" s="229">
        <f t="shared" si="39"/>
        <v>99320</v>
      </c>
      <c r="G590" s="226">
        <v>57930</v>
      </c>
      <c r="H590" s="201">
        <v>62308</v>
      </c>
      <c r="I590" s="226">
        <v>15631</v>
      </c>
      <c r="J590" s="201">
        <v>15882</v>
      </c>
      <c r="K590" s="228">
        <v>16359</v>
      </c>
      <c r="L590" s="228">
        <v>45</v>
      </c>
      <c r="M590" s="228">
        <v>45</v>
      </c>
      <c r="N590" s="202">
        <v>21130</v>
      </c>
      <c r="O590" s="202">
        <v>0</v>
      </c>
      <c r="P590" s="202">
        <v>0</v>
      </c>
      <c r="Q590" s="228"/>
      <c r="R590" s="201"/>
      <c r="S590" s="225">
        <f t="shared" si="40"/>
        <v>0</v>
      </c>
      <c r="T590" s="229">
        <f t="shared" si="41"/>
        <v>0</v>
      </c>
      <c r="U590" s="226"/>
      <c r="V590" s="201"/>
      <c r="W590" s="226"/>
      <c r="X590" s="201"/>
      <c r="Y590" s="228"/>
      <c r="Z590" s="228"/>
      <c r="AA590" s="228"/>
      <c r="AB590" s="202"/>
      <c r="AC590" s="202"/>
      <c r="AD590" s="202"/>
      <c r="AE590" s="228"/>
      <c r="AF590" s="240"/>
    </row>
    <row r="591" spans="1:32" s="203" customFormat="1">
      <c r="A591" s="286" t="s">
        <v>133</v>
      </c>
      <c r="B591" s="287" t="s">
        <v>706</v>
      </c>
      <c r="C591" s="286">
        <v>228699</v>
      </c>
      <c r="D591" s="250">
        <v>9</v>
      </c>
      <c r="E591" s="225">
        <f t="shared" si="38"/>
        <v>84467</v>
      </c>
      <c r="F591" s="229">
        <f t="shared" si="39"/>
        <v>89665</v>
      </c>
      <c r="G591" s="226">
        <v>76421</v>
      </c>
      <c r="H591" s="201">
        <v>77824</v>
      </c>
      <c r="I591" s="226">
        <v>5871</v>
      </c>
      <c r="J591" s="201">
        <v>7822</v>
      </c>
      <c r="K591" s="228">
        <v>2067</v>
      </c>
      <c r="L591" s="228">
        <v>108</v>
      </c>
      <c r="M591" s="228">
        <v>0</v>
      </c>
      <c r="N591" s="202">
        <v>4007</v>
      </c>
      <c r="O591" s="202">
        <v>12</v>
      </c>
      <c r="P591" s="202">
        <v>0</v>
      </c>
      <c r="Q591" s="228"/>
      <c r="R591" s="201"/>
      <c r="S591" s="225">
        <f t="shared" si="40"/>
        <v>0</v>
      </c>
      <c r="T591" s="229">
        <f t="shared" si="41"/>
        <v>0</v>
      </c>
      <c r="U591" s="226"/>
      <c r="V591" s="201"/>
      <c r="W591" s="226"/>
      <c r="X591" s="201"/>
      <c r="Y591" s="228"/>
      <c r="Z591" s="228"/>
      <c r="AA591" s="228"/>
      <c r="AB591" s="202"/>
      <c r="AC591" s="202"/>
      <c r="AD591" s="202"/>
      <c r="AE591" s="228"/>
      <c r="AF591" s="240"/>
    </row>
    <row r="592" spans="1:32" s="203" customFormat="1">
      <c r="A592" s="286" t="s">
        <v>133</v>
      </c>
      <c r="B592" s="287" t="s">
        <v>707</v>
      </c>
      <c r="C592" s="286">
        <v>229319</v>
      </c>
      <c r="D592" s="250">
        <v>9</v>
      </c>
      <c r="E592" s="225">
        <f t="shared" si="38"/>
        <v>104300</v>
      </c>
      <c r="F592" s="229">
        <f t="shared" si="39"/>
        <v>112465</v>
      </c>
      <c r="G592" s="226">
        <v>91930</v>
      </c>
      <c r="H592" s="201">
        <v>96409</v>
      </c>
      <c r="I592" s="226">
        <v>5652</v>
      </c>
      <c r="J592" s="201">
        <v>7105</v>
      </c>
      <c r="K592" s="228">
        <v>4582</v>
      </c>
      <c r="L592" s="228">
        <v>2136</v>
      </c>
      <c r="M592" s="228">
        <v>0</v>
      </c>
      <c r="N592" s="202">
        <v>6761</v>
      </c>
      <c r="O592" s="202">
        <v>2190</v>
      </c>
      <c r="P592" s="202">
        <v>0</v>
      </c>
      <c r="Q592" s="228"/>
      <c r="R592" s="201"/>
      <c r="S592" s="225">
        <f t="shared" si="40"/>
        <v>0</v>
      </c>
      <c r="T592" s="229">
        <f t="shared" si="41"/>
        <v>0</v>
      </c>
      <c r="U592" s="226"/>
      <c r="V592" s="201"/>
      <c r="W592" s="226"/>
      <c r="X592" s="201"/>
      <c r="Y592" s="228"/>
      <c r="Z592" s="228"/>
      <c r="AA592" s="228"/>
      <c r="AB592" s="202"/>
      <c r="AC592" s="202"/>
      <c r="AD592" s="202"/>
      <c r="AE592" s="228"/>
      <c r="AF592" s="240"/>
    </row>
    <row r="593" spans="1:32" s="203" customFormat="1">
      <c r="A593" s="286" t="s">
        <v>133</v>
      </c>
      <c r="B593" s="287" t="s">
        <v>708</v>
      </c>
      <c r="C593" s="286">
        <v>228680</v>
      </c>
      <c r="D593" s="250">
        <v>9</v>
      </c>
      <c r="E593" s="225">
        <f t="shared" si="38"/>
        <v>123287</v>
      </c>
      <c r="F593" s="229">
        <f t="shared" si="39"/>
        <v>125460</v>
      </c>
      <c r="G593" s="226">
        <v>109783</v>
      </c>
      <c r="H593" s="201">
        <v>108847</v>
      </c>
      <c r="I593" s="226">
        <v>7240</v>
      </c>
      <c r="J593" s="201">
        <v>10248</v>
      </c>
      <c r="K593" s="228">
        <v>6139</v>
      </c>
      <c r="L593" s="228">
        <v>0</v>
      </c>
      <c r="M593" s="228">
        <v>125</v>
      </c>
      <c r="N593" s="202">
        <v>6308</v>
      </c>
      <c r="O593" s="202">
        <v>0</v>
      </c>
      <c r="P593" s="202">
        <v>57</v>
      </c>
      <c r="Q593" s="228"/>
      <c r="R593" s="201"/>
      <c r="S593" s="225">
        <f t="shared" si="40"/>
        <v>0</v>
      </c>
      <c r="T593" s="229">
        <f t="shared" si="41"/>
        <v>0</v>
      </c>
      <c r="U593" s="226"/>
      <c r="V593" s="201"/>
      <c r="W593" s="226"/>
      <c r="X593" s="201"/>
      <c r="Y593" s="228"/>
      <c r="Z593" s="228"/>
      <c r="AA593" s="228"/>
      <c r="AB593" s="202"/>
      <c r="AC593" s="202"/>
      <c r="AD593" s="202"/>
      <c r="AE593" s="228"/>
      <c r="AF593" s="240"/>
    </row>
    <row r="594" spans="1:32" s="203" customFormat="1">
      <c r="A594" s="286" t="s">
        <v>133</v>
      </c>
      <c r="B594" s="287" t="s">
        <v>709</v>
      </c>
      <c r="C594" s="286">
        <v>225308</v>
      </c>
      <c r="D594" s="250">
        <v>9</v>
      </c>
      <c r="E594" s="225">
        <f t="shared" si="38"/>
        <v>131124</v>
      </c>
      <c r="F594" s="229">
        <f t="shared" si="39"/>
        <v>134065</v>
      </c>
      <c r="G594" s="226">
        <v>74008</v>
      </c>
      <c r="H594" s="201">
        <v>76965</v>
      </c>
      <c r="I594" s="226">
        <v>39072</v>
      </c>
      <c r="J594" s="201">
        <v>37542</v>
      </c>
      <c r="K594" s="228">
        <v>15498</v>
      </c>
      <c r="L594" s="228">
        <v>2243</v>
      </c>
      <c r="M594" s="228">
        <v>303</v>
      </c>
      <c r="N594" s="202">
        <v>17524</v>
      </c>
      <c r="O594" s="202">
        <v>2034</v>
      </c>
      <c r="P594" s="202">
        <v>0</v>
      </c>
      <c r="Q594" s="228"/>
      <c r="R594" s="201"/>
      <c r="S594" s="225">
        <f t="shared" si="40"/>
        <v>0</v>
      </c>
      <c r="T594" s="229">
        <f t="shared" si="41"/>
        <v>0</v>
      </c>
      <c r="U594" s="226"/>
      <c r="V594" s="201"/>
      <c r="W594" s="226"/>
      <c r="X594" s="201"/>
      <c r="Y594" s="228"/>
      <c r="Z594" s="228"/>
      <c r="AA594" s="228"/>
      <c r="AB594" s="202"/>
      <c r="AC594" s="202"/>
      <c r="AD594" s="202"/>
      <c r="AE594" s="228"/>
      <c r="AF594" s="240"/>
    </row>
    <row r="595" spans="1:32" s="203" customFormat="1">
      <c r="A595" s="286" t="s">
        <v>133</v>
      </c>
      <c r="B595" s="287" t="s">
        <v>710</v>
      </c>
      <c r="C595" s="286">
        <v>229504</v>
      </c>
      <c r="D595" s="250">
        <v>9</v>
      </c>
      <c r="E595" s="225">
        <f t="shared" si="38"/>
        <v>56034</v>
      </c>
      <c r="F595" s="229">
        <f t="shared" si="39"/>
        <v>57483</v>
      </c>
      <c r="G595" s="226">
        <v>10264</v>
      </c>
      <c r="H595" s="201">
        <v>9295</v>
      </c>
      <c r="I595" s="226">
        <v>25744</v>
      </c>
      <c r="J595" s="201">
        <v>26370</v>
      </c>
      <c r="K595" s="228">
        <v>14413</v>
      </c>
      <c r="L595" s="228">
        <v>5613</v>
      </c>
      <c r="M595" s="228">
        <v>0</v>
      </c>
      <c r="N595" s="202">
        <v>16078</v>
      </c>
      <c r="O595" s="202">
        <v>5740</v>
      </c>
      <c r="P595" s="202">
        <v>0</v>
      </c>
      <c r="Q595" s="228"/>
      <c r="R595" s="201"/>
      <c r="S595" s="225">
        <f t="shared" si="40"/>
        <v>0</v>
      </c>
      <c r="T595" s="229">
        <f t="shared" si="41"/>
        <v>0</v>
      </c>
      <c r="U595" s="226"/>
      <c r="V595" s="201"/>
      <c r="W595" s="226"/>
      <c r="X595" s="201"/>
      <c r="Y595" s="228"/>
      <c r="Z595" s="228"/>
      <c r="AA595" s="228"/>
      <c r="AB595" s="202"/>
      <c r="AC595" s="202"/>
      <c r="AD595" s="202"/>
      <c r="AE595" s="228"/>
      <c r="AF595" s="240"/>
    </row>
    <row r="596" spans="1:32" s="203" customFormat="1">
      <c r="A596" s="286" t="s">
        <v>133</v>
      </c>
      <c r="B596" s="287" t="s">
        <v>711</v>
      </c>
      <c r="C596" s="286">
        <v>229540</v>
      </c>
      <c r="D596" s="250">
        <v>9</v>
      </c>
      <c r="E596" s="225">
        <f t="shared" si="38"/>
        <v>74282</v>
      </c>
      <c r="F596" s="229">
        <f t="shared" si="39"/>
        <v>74228</v>
      </c>
      <c r="G596" s="226">
        <v>50698</v>
      </c>
      <c r="H596" s="201">
        <v>48337</v>
      </c>
      <c r="I596" s="226">
        <v>4150</v>
      </c>
      <c r="J596" s="201">
        <v>4904</v>
      </c>
      <c r="K596" s="228">
        <v>16482</v>
      </c>
      <c r="L596" s="228">
        <v>2952</v>
      </c>
      <c r="M596" s="228">
        <v>0</v>
      </c>
      <c r="N596" s="202">
        <v>17856</v>
      </c>
      <c r="O596" s="202">
        <v>3131</v>
      </c>
      <c r="P596" s="202">
        <v>0</v>
      </c>
      <c r="Q596" s="228"/>
      <c r="R596" s="201"/>
      <c r="S596" s="225">
        <f t="shared" si="40"/>
        <v>0</v>
      </c>
      <c r="T596" s="229">
        <f t="shared" si="41"/>
        <v>0</v>
      </c>
      <c r="U596" s="226"/>
      <c r="V596" s="201"/>
      <c r="W596" s="226"/>
      <c r="X596" s="201"/>
      <c r="Y596" s="228"/>
      <c r="Z596" s="228"/>
      <c r="AA596" s="228"/>
      <c r="AB596" s="202"/>
      <c r="AC596" s="202"/>
      <c r="AD596" s="202"/>
      <c r="AE596" s="228"/>
      <c r="AF596" s="240"/>
    </row>
    <row r="597" spans="1:32" s="203" customFormat="1">
      <c r="A597" s="286" t="s">
        <v>133</v>
      </c>
      <c r="B597" s="287" t="s">
        <v>712</v>
      </c>
      <c r="C597" s="286">
        <v>229799</v>
      </c>
      <c r="D597" s="250">
        <v>9</v>
      </c>
      <c r="E597" s="225">
        <f t="shared" si="38"/>
        <v>91001</v>
      </c>
      <c r="F597" s="229">
        <f t="shared" si="39"/>
        <v>93510</v>
      </c>
      <c r="G597" s="226">
        <v>68480</v>
      </c>
      <c r="H597" s="201">
        <v>70052</v>
      </c>
      <c r="I597" s="226">
        <v>9561</v>
      </c>
      <c r="J597" s="201">
        <v>10679</v>
      </c>
      <c r="K597" s="228">
        <v>11859</v>
      </c>
      <c r="L597" s="228">
        <v>981</v>
      </c>
      <c r="M597" s="228">
        <v>120</v>
      </c>
      <c r="N597" s="202">
        <v>11760</v>
      </c>
      <c r="O597" s="202">
        <v>764</v>
      </c>
      <c r="P597" s="202">
        <v>255</v>
      </c>
      <c r="Q597" s="228"/>
      <c r="R597" s="201"/>
      <c r="S597" s="225">
        <f t="shared" si="40"/>
        <v>0</v>
      </c>
      <c r="T597" s="229">
        <f t="shared" si="41"/>
        <v>0</v>
      </c>
      <c r="U597" s="226"/>
      <c r="V597" s="201"/>
      <c r="W597" s="226"/>
      <c r="X597" s="201"/>
      <c r="Y597" s="228"/>
      <c r="Z597" s="228"/>
      <c r="AA597" s="228"/>
      <c r="AB597" s="202"/>
      <c r="AC597" s="202"/>
      <c r="AD597" s="202"/>
      <c r="AE597" s="228"/>
      <c r="AF597" s="240"/>
    </row>
    <row r="598" spans="1:32" s="203" customFormat="1">
      <c r="A598" s="286" t="s">
        <v>133</v>
      </c>
      <c r="B598" s="287" t="s">
        <v>713</v>
      </c>
      <c r="C598" s="286">
        <v>229841</v>
      </c>
      <c r="D598" s="250">
        <v>9</v>
      </c>
      <c r="E598" s="225">
        <f t="shared" si="38"/>
        <v>120554</v>
      </c>
      <c r="F598" s="229">
        <f t="shared" si="39"/>
        <v>122424</v>
      </c>
      <c r="G598" s="226">
        <v>39696</v>
      </c>
      <c r="H598" s="201">
        <v>40482</v>
      </c>
      <c r="I598" s="226">
        <v>68154</v>
      </c>
      <c r="J598" s="201">
        <v>66698</v>
      </c>
      <c r="K598" s="228">
        <v>9878</v>
      </c>
      <c r="L598" s="228">
        <v>2826</v>
      </c>
      <c r="M598" s="228">
        <v>0</v>
      </c>
      <c r="N598" s="202">
        <v>12495</v>
      </c>
      <c r="O598" s="202">
        <v>2749</v>
      </c>
      <c r="P598" s="202">
        <v>0</v>
      </c>
      <c r="Q598" s="228"/>
      <c r="R598" s="201"/>
      <c r="S598" s="225">
        <f t="shared" si="40"/>
        <v>0</v>
      </c>
      <c r="T598" s="229">
        <f t="shared" si="41"/>
        <v>0</v>
      </c>
      <c r="U598" s="226"/>
      <c r="V598" s="201"/>
      <c r="W598" s="226"/>
      <c r="X598" s="201"/>
      <c r="Y598" s="228"/>
      <c r="Z598" s="228"/>
      <c r="AA598" s="228"/>
      <c r="AB598" s="202"/>
      <c r="AC598" s="202"/>
      <c r="AD598" s="202"/>
      <c r="AE598" s="228"/>
      <c r="AF598" s="240"/>
    </row>
    <row r="599" spans="1:32" s="203" customFormat="1">
      <c r="A599" s="286" t="s">
        <v>133</v>
      </c>
      <c r="B599" s="287" t="s">
        <v>714</v>
      </c>
      <c r="C599" s="286">
        <v>223898</v>
      </c>
      <c r="D599" s="250">
        <v>10</v>
      </c>
      <c r="E599" s="225">
        <f t="shared" si="38"/>
        <v>74558</v>
      </c>
      <c r="F599" s="229">
        <f t="shared" si="39"/>
        <v>74913</v>
      </c>
      <c r="G599" s="226">
        <v>18284</v>
      </c>
      <c r="H599" s="201">
        <v>16970</v>
      </c>
      <c r="I599" s="226">
        <v>51678</v>
      </c>
      <c r="J599" s="201">
        <v>47645</v>
      </c>
      <c r="K599" s="228">
        <v>3897</v>
      </c>
      <c r="L599" s="228">
        <v>699</v>
      </c>
      <c r="M599" s="228">
        <v>0</v>
      </c>
      <c r="N599" s="202">
        <v>9233</v>
      </c>
      <c r="O599" s="202">
        <v>1065</v>
      </c>
      <c r="P599" s="202">
        <v>0</v>
      </c>
      <c r="Q599" s="228"/>
      <c r="R599" s="201"/>
      <c r="S599" s="225">
        <f t="shared" si="40"/>
        <v>0</v>
      </c>
      <c r="T599" s="229">
        <f t="shared" si="41"/>
        <v>0</v>
      </c>
      <c r="U599" s="226"/>
      <c r="V599" s="201"/>
      <c r="W599" s="226"/>
      <c r="X599" s="201"/>
      <c r="Y599" s="228"/>
      <c r="Z599" s="228"/>
      <c r="AA599" s="228"/>
      <c r="AB599" s="202"/>
      <c r="AC599" s="202"/>
      <c r="AD599" s="202"/>
      <c r="AE599" s="228"/>
      <c r="AF599" s="240"/>
    </row>
    <row r="600" spans="1:32" s="203" customFormat="1">
      <c r="A600" s="286" t="s">
        <v>133</v>
      </c>
      <c r="B600" s="287" t="s">
        <v>715</v>
      </c>
      <c r="C600" s="286">
        <v>223922</v>
      </c>
      <c r="D600" s="250">
        <v>10</v>
      </c>
      <c r="E600" s="225">
        <f t="shared" si="38"/>
        <v>24871</v>
      </c>
      <c r="F600" s="229">
        <f t="shared" si="39"/>
        <v>26899</v>
      </c>
      <c r="G600" s="226">
        <v>11265</v>
      </c>
      <c r="H600" s="201">
        <v>11179</v>
      </c>
      <c r="I600" s="226">
        <v>9433</v>
      </c>
      <c r="J600" s="201">
        <v>10891</v>
      </c>
      <c r="K600" s="228">
        <v>2653</v>
      </c>
      <c r="L600" s="228">
        <v>1143</v>
      </c>
      <c r="M600" s="228">
        <v>377</v>
      </c>
      <c r="N600" s="202">
        <v>4469</v>
      </c>
      <c r="O600" s="202">
        <v>144</v>
      </c>
      <c r="P600" s="202">
        <v>216</v>
      </c>
      <c r="Q600" s="228"/>
      <c r="R600" s="201"/>
      <c r="S600" s="225">
        <f t="shared" si="40"/>
        <v>0</v>
      </c>
      <c r="T600" s="229">
        <f t="shared" si="41"/>
        <v>0</v>
      </c>
      <c r="U600" s="226"/>
      <c r="V600" s="201"/>
      <c r="W600" s="226"/>
      <c r="X600" s="201"/>
      <c r="Y600" s="228"/>
      <c r="Z600" s="228"/>
      <c r="AA600" s="228"/>
      <c r="AB600" s="202"/>
      <c r="AC600" s="202"/>
      <c r="AD600" s="202"/>
      <c r="AE600" s="228"/>
      <c r="AF600" s="240"/>
    </row>
    <row r="601" spans="1:32" s="203" customFormat="1">
      <c r="A601" s="286" t="s">
        <v>133</v>
      </c>
      <c r="B601" s="287" t="s">
        <v>716</v>
      </c>
      <c r="C601" s="286">
        <v>224891</v>
      </c>
      <c r="D601" s="250">
        <v>10</v>
      </c>
      <c r="E601" s="225">
        <f t="shared" si="38"/>
        <v>26200</v>
      </c>
      <c r="F601" s="229">
        <f t="shared" si="39"/>
        <v>25735</v>
      </c>
      <c r="G601" s="226">
        <v>18517</v>
      </c>
      <c r="H601" s="201">
        <v>17303</v>
      </c>
      <c r="I601" s="226">
        <v>1744</v>
      </c>
      <c r="J601" s="201">
        <v>1798</v>
      </c>
      <c r="K601" s="228">
        <v>3144</v>
      </c>
      <c r="L601" s="228">
        <v>0</v>
      </c>
      <c r="M601" s="228">
        <v>2795</v>
      </c>
      <c r="N601" s="202">
        <v>3261</v>
      </c>
      <c r="O601" s="202">
        <v>0</v>
      </c>
      <c r="P601" s="202">
        <v>3373</v>
      </c>
      <c r="Q601" s="228"/>
      <c r="R601" s="201"/>
      <c r="S601" s="225">
        <f t="shared" si="40"/>
        <v>0</v>
      </c>
      <c r="T601" s="229">
        <f t="shared" si="41"/>
        <v>0</v>
      </c>
      <c r="U601" s="226"/>
      <c r="V601" s="201"/>
      <c r="W601" s="226"/>
      <c r="X601" s="201"/>
      <c r="Y601" s="228"/>
      <c r="Z601" s="228"/>
      <c r="AA601" s="228"/>
      <c r="AB601" s="202"/>
      <c r="AC601" s="202"/>
      <c r="AD601" s="202"/>
      <c r="AE601" s="228"/>
      <c r="AF601" s="240"/>
    </row>
    <row r="602" spans="1:32" s="203" customFormat="1">
      <c r="A602" s="286" t="s">
        <v>133</v>
      </c>
      <c r="B602" s="287" t="s">
        <v>717</v>
      </c>
      <c r="C602" s="286">
        <v>224961</v>
      </c>
      <c r="D602" s="250">
        <v>10</v>
      </c>
      <c r="E602" s="225">
        <f t="shared" si="38"/>
        <v>41277</v>
      </c>
      <c r="F602" s="229">
        <f t="shared" si="39"/>
        <v>41316</v>
      </c>
      <c r="G602" s="226">
        <v>40820</v>
      </c>
      <c r="H602" s="201">
        <v>40694</v>
      </c>
      <c r="I602" s="226">
        <v>53</v>
      </c>
      <c r="J602" s="201">
        <v>0</v>
      </c>
      <c r="K602" s="228">
        <v>404</v>
      </c>
      <c r="L602" s="228">
        <v>0</v>
      </c>
      <c r="M602" s="228">
        <v>0</v>
      </c>
      <c r="N602" s="202">
        <v>622</v>
      </c>
      <c r="O602" s="202">
        <v>0</v>
      </c>
      <c r="P602" s="202">
        <v>0</v>
      </c>
      <c r="Q602" s="228"/>
      <c r="R602" s="201"/>
      <c r="S602" s="225">
        <f t="shared" si="40"/>
        <v>0</v>
      </c>
      <c r="T602" s="229">
        <f t="shared" si="41"/>
        <v>0</v>
      </c>
      <c r="U602" s="226"/>
      <c r="V602" s="201"/>
      <c r="W602" s="226"/>
      <c r="X602" s="201"/>
      <c r="Y602" s="228"/>
      <c r="Z602" s="228"/>
      <c r="AA602" s="228"/>
      <c r="AB602" s="202"/>
      <c r="AC602" s="202"/>
      <c r="AD602" s="202"/>
      <c r="AE602" s="228"/>
      <c r="AF602" s="240"/>
    </row>
    <row r="603" spans="1:32" s="203" customFormat="1">
      <c r="A603" s="286" t="s">
        <v>133</v>
      </c>
      <c r="B603" s="287" t="s">
        <v>718</v>
      </c>
      <c r="C603" s="286">
        <v>225371</v>
      </c>
      <c r="D603" s="250">
        <v>10</v>
      </c>
      <c r="E603" s="225">
        <f t="shared" si="38"/>
        <v>69586</v>
      </c>
      <c r="F603" s="229">
        <f t="shared" si="39"/>
        <v>73145</v>
      </c>
      <c r="G603" s="226">
        <v>18402</v>
      </c>
      <c r="H603" s="201">
        <v>17382</v>
      </c>
      <c r="I603" s="226">
        <v>36069</v>
      </c>
      <c r="J603" s="201">
        <v>36820</v>
      </c>
      <c r="K603" s="228">
        <v>13785</v>
      </c>
      <c r="L603" s="228">
        <v>1237</v>
      </c>
      <c r="M603" s="228">
        <v>93</v>
      </c>
      <c r="N603" s="202">
        <v>17700</v>
      </c>
      <c r="O603" s="202">
        <v>1243</v>
      </c>
      <c r="P603" s="202">
        <v>0</v>
      </c>
      <c r="Q603" s="228"/>
      <c r="R603" s="201"/>
      <c r="S603" s="225">
        <f t="shared" si="40"/>
        <v>0</v>
      </c>
      <c r="T603" s="229">
        <f t="shared" si="41"/>
        <v>0</v>
      </c>
      <c r="U603" s="226"/>
      <c r="V603" s="201"/>
      <c r="W603" s="226"/>
      <c r="X603" s="201"/>
      <c r="Y603" s="228"/>
      <c r="Z603" s="228"/>
      <c r="AA603" s="228"/>
      <c r="AB603" s="202"/>
      <c r="AC603" s="202"/>
      <c r="AD603" s="202"/>
      <c r="AE603" s="228"/>
      <c r="AF603" s="240"/>
    </row>
    <row r="604" spans="1:32" s="203" customFormat="1">
      <c r="A604" s="286" t="s">
        <v>133</v>
      </c>
      <c r="B604" s="287" t="s">
        <v>719</v>
      </c>
      <c r="C604" s="286">
        <v>226107</v>
      </c>
      <c r="D604" s="250">
        <v>10</v>
      </c>
      <c r="E604" s="225">
        <f t="shared" si="38"/>
        <v>41415</v>
      </c>
      <c r="F604" s="229">
        <f t="shared" si="39"/>
        <v>43364</v>
      </c>
      <c r="G604" s="226">
        <v>37075</v>
      </c>
      <c r="H604" s="201">
        <v>37896</v>
      </c>
      <c r="I604" s="226">
        <v>1373</v>
      </c>
      <c r="J604" s="201">
        <v>1452</v>
      </c>
      <c r="K604" s="228">
        <v>2967</v>
      </c>
      <c r="L604" s="228">
        <v>0</v>
      </c>
      <c r="M604" s="228">
        <v>0</v>
      </c>
      <c r="N604" s="202">
        <v>4016</v>
      </c>
      <c r="O604" s="202">
        <v>0</v>
      </c>
      <c r="P604" s="202">
        <v>0</v>
      </c>
      <c r="Q604" s="228"/>
      <c r="R604" s="201"/>
      <c r="S604" s="225">
        <f t="shared" si="40"/>
        <v>0</v>
      </c>
      <c r="T604" s="229">
        <f t="shared" si="41"/>
        <v>0</v>
      </c>
      <c r="U604" s="226"/>
      <c r="V604" s="201"/>
      <c r="W604" s="226"/>
      <c r="X604" s="201"/>
      <c r="Y604" s="228"/>
      <c r="Z604" s="228"/>
      <c r="AA604" s="228"/>
      <c r="AB604" s="202"/>
      <c r="AC604" s="202"/>
      <c r="AD604" s="202"/>
      <c r="AE604" s="228"/>
      <c r="AF604" s="240"/>
    </row>
    <row r="605" spans="1:32" s="203" customFormat="1">
      <c r="A605" s="286" t="s">
        <v>133</v>
      </c>
      <c r="B605" s="381" t="s">
        <v>720</v>
      </c>
      <c r="C605" s="382">
        <v>226116</v>
      </c>
      <c r="D605" s="383">
        <v>10</v>
      </c>
      <c r="E605" s="225">
        <f t="shared" si="38"/>
        <v>46811</v>
      </c>
      <c r="F605" s="229">
        <f t="shared" si="39"/>
        <v>42313</v>
      </c>
      <c r="G605" s="226">
        <v>39549</v>
      </c>
      <c r="H605" s="201">
        <v>34579</v>
      </c>
      <c r="I605" s="226">
        <v>4976</v>
      </c>
      <c r="J605" s="201">
        <v>5389</v>
      </c>
      <c r="K605" s="228">
        <v>2286</v>
      </c>
      <c r="L605" s="228">
        <v>0</v>
      </c>
      <c r="M605" s="228">
        <v>0</v>
      </c>
      <c r="N605" s="202">
        <v>2345</v>
      </c>
      <c r="O605" s="202">
        <v>0</v>
      </c>
      <c r="P605" s="202">
        <v>0</v>
      </c>
      <c r="Q605" s="228"/>
      <c r="R605" s="201"/>
      <c r="S605" s="225">
        <f t="shared" si="40"/>
        <v>0</v>
      </c>
      <c r="T605" s="229">
        <f t="shared" si="41"/>
        <v>0</v>
      </c>
      <c r="U605" s="226"/>
      <c r="V605" s="201"/>
      <c r="W605" s="226"/>
      <c r="X605" s="201"/>
      <c r="Y605" s="228"/>
      <c r="Z605" s="228"/>
      <c r="AA605" s="228"/>
      <c r="AB605" s="202"/>
      <c r="AC605" s="202"/>
      <c r="AD605" s="202"/>
      <c r="AE605" s="228"/>
      <c r="AF605" s="240"/>
    </row>
    <row r="606" spans="1:32" s="203" customFormat="1">
      <c r="A606" s="286" t="s">
        <v>133</v>
      </c>
      <c r="B606" s="381" t="s">
        <v>721</v>
      </c>
      <c r="C606" s="384"/>
      <c r="D606" s="383">
        <v>10</v>
      </c>
      <c r="E606" s="225">
        <f t="shared" si="38"/>
        <v>895</v>
      </c>
      <c r="F606" s="229">
        <f t="shared" si="39"/>
        <v>6815</v>
      </c>
      <c r="G606" s="226">
        <v>868</v>
      </c>
      <c r="H606" s="201">
        <v>6687</v>
      </c>
      <c r="I606" s="226"/>
      <c r="J606" s="201">
        <v>0</v>
      </c>
      <c r="K606" s="228">
        <v>27</v>
      </c>
      <c r="L606" s="228"/>
      <c r="M606" s="228"/>
      <c r="N606" s="202">
        <v>128</v>
      </c>
      <c r="O606" s="202">
        <v>0</v>
      </c>
      <c r="P606" s="202">
        <v>0</v>
      </c>
      <c r="Q606" s="228"/>
      <c r="R606" s="201"/>
      <c r="S606" s="225">
        <f t="shared" si="40"/>
        <v>0</v>
      </c>
      <c r="T606" s="229">
        <f t="shared" si="41"/>
        <v>0</v>
      </c>
      <c r="U606" s="226"/>
      <c r="V606" s="201"/>
      <c r="W606" s="226"/>
      <c r="X606" s="201"/>
      <c r="Y606" s="228"/>
      <c r="Z606" s="228"/>
      <c r="AA606" s="228"/>
      <c r="AB606" s="202"/>
      <c r="AC606" s="202"/>
      <c r="AD606" s="202"/>
      <c r="AE606" s="228"/>
      <c r="AF606" s="240"/>
    </row>
    <row r="607" spans="1:32" s="203" customFormat="1">
      <c r="A607" s="286" t="s">
        <v>133</v>
      </c>
      <c r="B607" s="287" t="s">
        <v>722</v>
      </c>
      <c r="C607" s="286">
        <v>227225</v>
      </c>
      <c r="D607" s="250">
        <v>10</v>
      </c>
      <c r="E607" s="225">
        <f t="shared" si="38"/>
        <v>52234</v>
      </c>
      <c r="F607" s="229">
        <f t="shared" si="39"/>
        <v>54001</v>
      </c>
      <c r="G607" s="226">
        <v>46315</v>
      </c>
      <c r="H607" s="201">
        <v>46702</v>
      </c>
      <c r="I607" s="226">
        <v>549</v>
      </c>
      <c r="J607" s="201">
        <v>783</v>
      </c>
      <c r="K607" s="228">
        <v>5370</v>
      </c>
      <c r="L607" s="228">
        <v>0</v>
      </c>
      <c r="M607" s="228">
        <v>0</v>
      </c>
      <c r="N607" s="202">
        <v>6516</v>
      </c>
      <c r="O607" s="202">
        <v>0</v>
      </c>
      <c r="P607" s="202">
        <v>0</v>
      </c>
      <c r="Q607" s="228"/>
      <c r="R607" s="201"/>
      <c r="S607" s="225">
        <f t="shared" si="40"/>
        <v>0</v>
      </c>
      <c r="T607" s="229">
        <f t="shared" si="41"/>
        <v>0</v>
      </c>
      <c r="U607" s="226"/>
      <c r="V607" s="201"/>
      <c r="W607" s="226"/>
      <c r="X607" s="201"/>
      <c r="Y607" s="228"/>
      <c r="Z607" s="228"/>
      <c r="AA607" s="228"/>
      <c r="AB607" s="202"/>
      <c r="AC607" s="202"/>
      <c r="AD607" s="202"/>
      <c r="AE607" s="228"/>
      <c r="AF607" s="240"/>
    </row>
    <row r="608" spans="1:32" s="203" customFormat="1">
      <c r="A608" s="286" t="s">
        <v>133</v>
      </c>
      <c r="B608" s="287" t="s">
        <v>723</v>
      </c>
      <c r="C608" s="286">
        <v>227386</v>
      </c>
      <c r="D608" s="250">
        <v>10</v>
      </c>
      <c r="E608" s="225">
        <f t="shared" si="38"/>
        <v>40528</v>
      </c>
      <c r="F608" s="229">
        <f t="shared" si="39"/>
        <v>41640</v>
      </c>
      <c r="G608" s="226">
        <v>23227</v>
      </c>
      <c r="H608" s="201">
        <v>23331</v>
      </c>
      <c r="I608" s="226">
        <v>7235</v>
      </c>
      <c r="J608" s="201">
        <v>7337</v>
      </c>
      <c r="K608" s="228">
        <v>9587</v>
      </c>
      <c r="L608" s="228">
        <v>479</v>
      </c>
      <c r="M608" s="228">
        <v>0</v>
      </c>
      <c r="N608" s="202">
        <v>9821</v>
      </c>
      <c r="O608" s="202">
        <v>1151</v>
      </c>
      <c r="P608" s="202">
        <v>0</v>
      </c>
      <c r="Q608" s="228"/>
      <c r="R608" s="201"/>
      <c r="S608" s="225">
        <f t="shared" si="40"/>
        <v>0</v>
      </c>
      <c r="T608" s="229">
        <f t="shared" si="41"/>
        <v>0</v>
      </c>
      <c r="U608" s="226"/>
      <c r="V608" s="201"/>
      <c r="W608" s="226"/>
      <c r="X608" s="201"/>
      <c r="Y608" s="228"/>
      <c r="Z608" s="228"/>
      <c r="AA608" s="228"/>
      <c r="AB608" s="202"/>
      <c r="AC608" s="202"/>
      <c r="AD608" s="202"/>
      <c r="AE608" s="228"/>
      <c r="AF608" s="240"/>
    </row>
    <row r="609" spans="1:32" s="203" customFormat="1">
      <c r="A609" s="286" t="s">
        <v>133</v>
      </c>
      <c r="B609" s="287" t="s">
        <v>724</v>
      </c>
      <c r="C609" s="286">
        <v>227687</v>
      </c>
      <c r="D609" s="250">
        <v>10</v>
      </c>
      <c r="E609" s="225">
        <f t="shared" si="38"/>
        <v>18701</v>
      </c>
      <c r="F609" s="229">
        <f t="shared" si="39"/>
        <v>18882</v>
      </c>
      <c r="G609" s="226">
        <v>10844</v>
      </c>
      <c r="H609" s="201">
        <v>11378</v>
      </c>
      <c r="I609" s="226">
        <v>6885</v>
      </c>
      <c r="J609" s="201">
        <v>6198</v>
      </c>
      <c r="K609" s="228">
        <v>756</v>
      </c>
      <c r="L609" s="228">
        <v>216</v>
      </c>
      <c r="M609" s="228">
        <v>0</v>
      </c>
      <c r="N609" s="202">
        <v>1091</v>
      </c>
      <c r="O609" s="202">
        <v>215</v>
      </c>
      <c r="P609" s="202">
        <v>0</v>
      </c>
      <c r="Q609" s="228"/>
      <c r="R609" s="201"/>
      <c r="S609" s="225">
        <f t="shared" si="40"/>
        <v>0</v>
      </c>
      <c r="T609" s="229">
        <f t="shared" si="41"/>
        <v>0</v>
      </c>
      <c r="U609" s="226"/>
      <c r="V609" s="201"/>
      <c r="W609" s="226"/>
      <c r="X609" s="201"/>
      <c r="Y609" s="228"/>
      <c r="Z609" s="228"/>
      <c r="AA609" s="228"/>
      <c r="AB609" s="202"/>
      <c r="AC609" s="202"/>
      <c r="AD609" s="202"/>
      <c r="AE609" s="228"/>
      <c r="AF609" s="240"/>
    </row>
    <row r="610" spans="1:32" s="203" customFormat="1">
      <c r="A610" s="286" t="s">
        <v>133</v>
      </c>
      <c r="B610" s="287" t="s">
        <v>725</v>
      </c>
      <c r="C610" s="286">
        <v>382911</v>
      </c>
      <c r="D610" s="250">
        <v>10</v>
      </c>
      <c r="E610" s="225">
        <f t="shared" si="38"/>
        <v>2181</v>
      </c>
      <c r="F610" s="229">
        <f t="shared" si="39"/>
        <v>2083</v>
      </c>
      <c r="G610" s="226">
        <v>2151</v>
      </c>
      <c r="H610" s="201">
        <v>2059</v>
      </c>
      <c r="I610" s="226">
        <v>0</v>
      </c>
      <c r="J610" s="201">
        <v>0</v>
      </c>
      <c r="K610" s="228">
        <v>30</v>
      </c>
      <c r="L610" s="228">
        <v>0</v>
      </c>
      <c r="M610" s="228">
        <v>0</v>
      </c>
      <c r="N610" s="202">
        <v>24</v>
      </c>
      <c r="O610" s="202">
        <v>0</v>
      </c>
      <c r="P610" s="202">
        <v>0</v>
      </c>
      <c r="Q610" s="228"/>
      <c r="R610" s="201"/>
      <c r="S610" s="225">
        <f t="shared" si="40"/>
        <v>0</v>
      </c>
      <c r="T610" s="229">
        <f t="shared" si="41"/>
        <v>0</v>
      </c>
      <c r="U610" s="226"/>
      <c r="V610" s="201"/>
      <c r="W610" s="226"/>
      <c r="X610" s="201"/>
      <c r="Y610" s="228"/>
      <c r="Z610" s="228"/>
      <c r="AA610" s="228"/>
      <c r="AB610" s="202"/>
      <c r="AC610" s="202"/>
      <c r="AD610" s="202"/>
      <c r="AE610" s="228"/>
      <c r="AF610" s="240"/>
    </row>
    <row r="611" spans="1:32" s="203" customFormat="1">
      <c r="A611" s="286" t="s">
        <v>133</v>
      </c>
      <c r="B611" s="287" t="s">
        <v>726</v>
      </c>
      <c r="C611" s="286">
        <v>408394</v>
      </c>
      <c r="D611" s="250">
        <v>10</v>
      </c>
      <c r="E611" s="225">
        <f t="shared" si="38"/>
        <v>14643</v>
      </c>
      <c r="F611" s="229">
        <f t="shared" si="39"/>
        <v>17874</v>
      </c>
      <c r="G611" s="226">
        <v>8809</v>
      </c>
      <c r="H611" s="201">
        <v>10365</v>
      </c>
      <c r="I611" s="226">
        <v>500</v>
      </c>
      <c r="J611" s="201">
        <v>1508</v>
      </c>
      <c r="K611" s="228">
        <v>5334</v>
      </c>
      <c r="L611" s="228">
        <v>0</v>
      </c>
      <c r="M611" s="228">
        <v>0</v>
      </c>
      <c r="N611" s="202">
        <v>6001</v>
      </c>
      <c r="O611" s="202">
        <v>0</v>
      </c>
      <c r="P611" s="202">
        <v>0</v>
      </c>
      <c r="Q611" s="228"/>
      <c r="R611" s="201"/>
      <c r="S611" s="225">
        <f t="shared" si="40"/>
        <v>0</v>
      </c>
      <c r="T611" s="229">
        <f t="shared" si="41"/>
        <v>0</v>
      </c>
      <c r="U611" s="226"/>
      <c r="V611" s="201"/>
      <c r="W611" s="226"/>
      <c r="X611" s="201"/>
      <c r="Y611" s="228"/>
      <c r="Z611" s="228"/>
      <c r="AA611" s="228"/>
      <c r="AB611" s="202"/>
      <c r="AC611" s="202"/>
      <c r="AD611" s="202"/>
      <c r="AE611" s="228"/>
      <c r="AF611" s="240"/>
    </row>
    <row r="612" spans="1:32" s="203" customFormat="1">
      <c r="A612" s="286" t="s">
        <v>133</v>
      </c>
      <c r="B612" s="287" t="s">
        <v>727</v>
      </c>
      <c r="C612" s="286">
        <v>229328</v>
      </c>
      <c r="D612" s="250">
        <v>10</v>
      </c>
      <c r="E612" s="225">
        <f t="shared" si="38"/>
        <v>38294</v>
      </c>
      <c r="F612" s="229">
        <f t="shared" si="39"/>
        <v>42967</v>
      </c>
      <c r="G612" s="226">
        <v>12414</v>
      </c>
      <c r="H612" s="201">
        <v>8441</v>
      </c>
      <c r="I612" s="226">
        <v>16313</v>
      </c>
      <c r="J612" s="201">
        <v>13887</v>
      </c>
      <c r="K612" s="228">
        <v>5451</v>
      </c>
      <c r="L612" s="228">
        <v>3528</v>
      </c>
      <c r="M612" s="228">
        <v>588</v>
      </c>
      <c r="N612" s="202">
        <v>16662</v>
      </c>
      <c r="O612" s="202">
        <v>1970</v>
      </c>
      <c r="P612" s="202">
        <v>2007</v>
      </c>
      <c r="Q612" s="228"/>
      <c r="R612" s="201"/>
      <c r="S612" s="225">
        <f t="shared" si="40"/>
        <v>0</v>
      </c>
      <c r="T612" s="229">
        <f t="shared" si="41"/>
        <v>0</v>
      </c>
      <c r="U612" s="226"/>
      <c r="V612" s="201"/>
      <c r="W612" s="226"/>
      <c r="X612" s="201"/>
      <c r="Y612" s="228"/>
      <c r="Z612" s="228"/>
      <c r="AA612" s="228"/>
      <c r="AB612" s="202"/>
      <c r="AC612" s="202"/>
      <c r="AD612" s="202"/>
      <c r="AE612" s="228"/>
      <c r="AF612" s="240"/>
    </row>
    <row r="613" spans="1:32" s="203" customFormat="1">
      <c r="A613" s="286" t="s">
        <v>133</v>
      </c>
      <c r="B613" s="287" t="s">
        <v>728</v>
      </c>
      <c r="C613" s="286">
        <v>229832</v>
      </c>
      <c r="D613" s="250">
        <v>10</v>
      </c>
      <c r="E613" s="225">
        <f t="shared" si="38"/>
        <v>38707</v>
      </c>
      <c r="F613" s="229">
        <f t="shared" si="39"/>
        <v>41284</v>
      </c>
      <c r="G613" s="226">
        <v>14148</v>
      </c>
      <c r="H613" s="201">
        <v>12290</v>
      </c>
      <c r="I613" s="226">
        <v>9820</v>
      </c>
      <c r="J613" s="201">
        <v>8089</v>
      </c>
      <c r="K613" s="228">
        <v>8344</v>
      </c>
      <c r="L613" s="228">
        <v>5525</v>
      </c>
      <c r="M613" s="228">
        <v>870</v>
      </c>
      <c r="N613" s="202">
        <v>15616</v>
      </c>
      <c r="O613" s="202">
        <v>4332</v>
      </c>
      <c r="P613" s="202">
        <v>957</v>
      </c>
      <c r="Q613" s="228"/>
      <c r="R613" s="201"/>
      <c r="S613" s="225">
        <f t="shared" si="40"/>
        <v>0</v>
      </c>
      <c r="T613" s="229">
        <f t="shared" si="41"/>
        <v>0</v>
      </c>
      <c r="U613" s="226"/>
      <c r="V613" s="201"/>
      <c r="W613" s="226"/>
      <c r="X613" s="201"/>
      <c r="Y613" s="228"/>
      <c r="Z613" s="228"/>
      <c r="AA613" s="228"/>
      <c r="AB613" s="202"/>
      <c r="AC613" s="202"/>
      <c r="AD613" s="202"/>
      <c r="AE613" s="228"/>
      <c r="AF613" s="240"/>
    </row>
    <row r="614" spans="1:32" s="203" customFormat="1">
      <c r="A614" s="335" t="s">
        <v>138</v>
      </c>
      <c r="B614" s="406" t="s">
        <v>877</v>
      </c>
      <c r="C614" s="335"/>
      <c r="D614" s="336">
        <v>1</v>
      </c>
      <c r="E614" s="225">
        <f t="shared" si="38"/>
        <v>0</v>
      </c>
      <c r="F614" s="229">
        <f t="shared" si="39"/>
        <v>0</v>
      </c>
      <c r="G614" s="337"/>
      <c r="H614" s="338"/>
      <c r="I614" s="337"/>
      <c r="J614" s="338"/>
      <c r="K614" s="339"/>
      <c r="L614" s="339"/>
      <c r="M614" s="339"/>
      <c r="N614" s="340"/>
      <c r="O614" s="340"/>
      <c r="P614" s="340"/>
      <c r="Q614" s="339"/>
      <c r="R614" s="338"/>
      <c r="S614" s="225">
        <f t="shared" si="40"/>
        <v>0</v>
      </c>
      <c r="T614" s="229">
        <f t="shared" si="41"/>
        <v>0</v>
      </c>
      <c r="U614" s="337"/>
      <c r="V614" s="338"/>
      <c r="W614" s="337"/>
      <c r="X614" s="338"/>
      <c r="Y614" s="339"/>
      <c r="Z614" s="339"/>
      <c r="AA614" s="339"/>
      <c r="AB614" s="340"/>
      <c r="AC614" s="340"/>
      <c r="AD614" s="340"/>
      <c r="AE614" s="339"/>
      <c r="AF614" s="341"/>
    </row>
    <row r="615" spans="1:32" s="203" customFormat="1">
      <c r="A615" s="241" t="s">
        <v>199</v>
      </c>
      <c r="B615" s="281" t="s">
        <v>729</v>
      </c>
      <c r="C615" s="241">
        <v>238032</v>
      </c>
      <c r="D615" s="376">
        <v>1</v>
      </c>
      <c r="E615" s="225">
        <f t="shared" si="38"/>
        <v>622418</v>
      </c>
      <c r="F615" s="229">
        <f t="shared" si="39"/>
        <v>636145</v>
      </c>
      <c r="G615" s="226">
        <v>592537</v>
      </c>
      <c r="H615" s="201">
        <v>603440</v>
      </c>
      <c r="I615" s="226">
        <v>1096</v>
      </c>
      <c r="J615" s="201">
        <v>1154</v>
      </c>
      <c r="K615" s="228">
        <v>26843</v>
      </c>
      <c r="L615" s="228"/>
      <c r="M615" s="228">
        <v>1896</v>
      </c>
      <c r="N615" s="202">
        <v>28919</v>
      </c>
      <c r="O615" s="202">
        <v>87</v>
      </c>
      <c r="P615" s="202">
        <v>2536</v>
      </c>
      <c r="Q615" s="228">
        <v>46</v>
      </c>
      <c r="R615" s="201">
        <v>9</v>
      </c>
      <c r="S615" s="225">
        <f t="shared" si="40"/>
        <v>111142</v>
      </c>
      <c r="T615" s="229">
        <f t="shared" si="41"/>
        <v>111195</v>
      </c>
      <c r="U615" s="226">
        <v>77470</v>
      </c>
      <c r="V615" s="201">
        <v>74878</v>
      </c>
      <c r="W615" s="226">
        <v>13835</v>
      </c>
      <c r="X615" s="201">
        <v>12921</v>
      </c>
      <c r="Y615" s="228">
        <v>15896</v>
      </c>
      <c r="Z615" s="228">
        <v>3420</v>
      </c>
      <c r="AA615" s="228">
        <v>521</v>
      </c>
      <c r="AB615" s="202">
        <v>20492</v>
      </c>
      <c r="AC615" s="202">
        <v>2317</v>
      </c>
      <c r="AD615" s="202">
        <v>587</v>
      </c>
      <c r="AE615" s="228"/>
      <c r="AF615" s="240"/>
    </row>
    <row r="616" spans="1:32" s="203" customFormat="1">
      <c r="A616" s="241" t="s">
        <v>199</v>
      </c>
      <c r="B616" s="281" t="s">
        <v>730</v>
      </c>
      <c r="C616" s="241">
        <v>237525</v>
      </c>
      <c r="D616" s="376">
        <v>3</v>
      </c>
      <c r="E616" s="225">
        <f t="shared" si="38"/>
        <v>257348</v>
      </c>
      <c r="F616" s="229">
        <f t="shared" si="39"/>
        <v>252632</v>
      </c>
      <c r="G616" s="226">
        <v>218638</v>
      </c>
      <c r="H616" s="201">
        <v>210543</v>
      </c>
      <c r="I616" s="226">
        <v>12552</v>
      </c>
      <c r="J616" s="201">
        <v>12193</v>
      </c>
      <c r="K616" s="228">
        <v>26158</v>
      </c>
      <c r="L616" s="228"/>
      <c r="M616" s="228"/>
      <c r="N616" s="202">
        <v>29827</v>
      </c>
      <c r="O616" s="202">
        <f>54+15</f>
        <v>69</v>
      </c>
      <c r="P616" s="202"/>
      <c r="Q616" s="228"/>
      <c r="R616" s="201"/>
      <c r="S616" s="225">
        <f t="shared" si="40"/>
        <v>57249</v>
      </c>
      <c r="T616" s="229">
        <f t="shared" si="41"/>
        <v>56858</v>
      </c>
      <c r="U616" s="226">
        <v>16382</v>
      </c>
      <c r="V616" s="201">
        <v>19008</v>
      </c>
      <c r="W616" s="226">
        <v>27236</v>
      </c>
      <c r="X616" s="201">
        <v>24396</v>
      </c>
      <c r="Y616" s="228">
        <v>12347</v>
      </c>
      <c r="Z616" s="228">
        <f>789+495</f>
        <v>1284</v>
      </c>
      <c r="AA616" s="228"/>
      <c r="AB616" s="202">
        <v>12218</v>
      </c>
      <c r="AC616" s="202">
        <f>585+651</f>
        <v>1236</v>
      </c>
      <c r="AD616" s="202"/>
      <c r="AE616" s="228"/>
      <c r="AF616" s="240"/>
    </row>
    <row r="617" spans="1:32" s="203" customFormat="1">
      <c r="A617" s="241" t="s">
        <v>199</v>
      </c>
      <c r="B617" s="281" t="s">
        <v>731</v>
      </c>
      <c r="C617" s="241">
        <v>237215</v>
      </c>
      <c r="D617" s="376">
        <v>6</v>
      </c>
      <c r="E617" s="225">
        <f t="shared" si="38"/>
        <v>48658</v>
      </c>
      <c r="F617" s="229">
        <f t="shared" si="39"/>
        <v>50763</v>
      </c>
      <c r="G617" s="226">
        <v>34677</v>
      </c>
      <c r="H617" s="201">
        <v>34231</v>
      </c>
      <c r="I617" s="226">
        <v>4544</v>
      </c>
      <c r="J617" s="201">
        <v>4465</v>
      </c>
      <c r="K617" s="228">
        <v>8530</v>
      </c>
      <c r="L617" s="228">
        <f>567+307</f>
        <v>874</v>
      </c>
      <c r="M617" s="228">
        <v>33</v>
      </c>
      <c r="N617" s="202">
        <v>10166</v>
      </c>
      <c r="O617" s="202">
        <f>1131+758</f>
        <v>1889</v>
      </c>
      <c r="P617" s="202">
        <v>12</v>
      </c>
      <c r="Q617" s="228"/>
      <c r="R617" s="201"/>
      <c r="S617" s="225">
        <f t="shared" si="40"/>
        <v>0</v>
      </c>
      <c r="T617" s="229">
        <f t="shared" si="41"/>
        <v>0</v>
      </c>
      <c r="U617" s="226"/>
      <c r="V617" s="201"/>
      <c r="W617" s="226"/>
      <c r="X617" s="201"/>
      <c r="Y617" s="228"/>
      <c r="Z617" s="228"/>
      <c r="AA617" s="228"/>
      <c r="AB617" s="202"/>
      <c r="AC617" s="202"/>
      <c r="AD617" s="202"/>
      <c r="AE617" s="228"/>
      <c r="AF617" s="240"/>
    </row>
    <row r="618" spans="1:32" s="203" customFormat="1">
      <c r="A618" s="241" t="s">
        <v>199</v>
      </c>
      <c r="B618" s="281" t="s">
        <v>732</v>
      </c>
      <c r="C618" s="241">
        <v>237330</v>
      </c>
      <c r="D618" s="376">
        <v>6</v>
      </c>
      <c r="E618" s="225">
        <f t="shared" si="38"/>
        <v>76929</v>
      </c>
      <c r="F618" s="229">
        <f t="shared" si="39"/>
        <v>79002</v>
      </c>
      <c r="G618" s="226">
        <v>67618</v>
      </c>
      <c r="H618" s="201">
        <v>68388</v>
      </c>
      <c r="I618" s="226">
        <v>8153</v>
      </c>
      <c r="J618" s="201">
        <v>9532</v>
      </c>
      <c r="K618" s="228">
        <v>1026</v>
      </c>
      <c r="L618" s="228">
        <f>87+45</f>
        <v>132</v>
      </c>
      <c r="M618" s="228"/>
      <c r="N618" s="202">
        <v>721</v>
      </c>
      <c r="O618" s="202">
        <f>129+232</f>
        <v>361</v>
      </c>
      <c r="P618" s="202"/>
      <c r="Q618" s="228"/>
      <c r="R618" s="201"/>
      <c r="S618" s="225">
        <f t="shared" si="40"/>
        <v>1260</v>
      </c>
      <c r="T618" s="229">
        <f t="shared" si="41"/>
        <v>984</v>
      </c>
      <c r="U618" s="226">
        <v>324</v>
      </c>
      <c r="V618" s="201">
        <v>87</v>
      </c>
      <c r="W618" s="226">
        <v>12</v>
      </c>
      <c r="X618" s="201">
        <v>6</v>
      </c>
      <c r="Y618" s="228">
        <v>924</v>
      </c>
      <c r="Z618" s="228"/>
      <c r="AA618" s="228"/>
      <c r="AB618" s="202">
        <v>891</v>
      </c>
      <c r="AC618" s="202"/>
      <c r="AD618" s="202"/>
      <c r="AE618" s="228"/>
      <c r="AF618" s="240"/>
    </row>
    <row r="619" spans="1:32" s="203" customFormat="1">
      <c r="A619" s="241" t="s">
        <v>199</v>
      </c>
      <c r="B619" s="281" t="s">
        <v>733</v>
      </c>
      <c r="C619" s="241">
        <v>237367</v>
      </c>
      <c r="D619" s="376">
        <v>6</v>
      </c>
      <c r="E619" s="225">
        <f t="shared" si="38"/>
        <v>109685</v>
      </c>
      <c r="F619" s="229">
        <f t="shared" si="39"/>
        <v>113530</v>
      </c>
      <c r="G619" s="226">
        <v>87169</v>
      </c>
      <c r="H619" s="201">
        <v>87816</v>
      </c>
      <c r="I619" s="226">
        <v>14251</v>
      </c>
      <c r="J619" s="201">
        <v>14664</v>
      </c>
      <c r="K619" s="228">
        <v>8265</v>
      </c>
      <c r="L619" s="228"/>
      <c r="M619" s="228"/>
      <c r="N619" s="202">
        <v>11050</v>
      </c>
      <c r="O619" s="202"/>
      <c r="P619" s="202"/>
      <c r="Q619" s="228"/>
      <c r="R619" s="201"/>
      <c r="S619" s="225">
        <f t="shared" si="40"/>
        <v>5153</v>
      </c>
      <c r="T619" s="229">
        <f t="shared" si="41"/>
        <v>6242</v>
      </c>
      <c r="U619" s="226">
        <v>1239</v>
      </c>
      <c r="V619" s="201">
        <v>1440</v>
      </c>
      <c r="W619" s="226"/>
      <c r="X619" s="201"/>
      <c r="Y619" s="228">
        <v>3914</v>
      </c>
      <c r="Z619" s="228"/>
      <c r="AA619" s="228"/>
      <c r="AB619" s="202">
        <v>4802</v>
      </c>
      <c r="AC619" s="202"/>
      <c r="AD619" s="202"/>
      <c r="AE619" s="228"/>
      <c r="AF619" s="240"/>
    </row>
    <row r="620" spans="1:32" s="203" customFormat="1">
      <c r="A620" s="241" t="s">
        <v>199</v>
      </c>
      <c r="B620" s="281" t="s">
        <v>734</v>
      </c>
      <c r="C620" s="241">
        <v>237385</v>
      </c>
      <c r="D620" s="376">
        <v>6</v>
      </c>
      <c r="E620" s="225">
        <f t="shared" si="38"/>
        <v>35958</v>
      </c>
      <c r="F620" s="229">
        <f t="shared" si="39"/>
        <v>37334</v>
      </c>
      <c r="G620" s="226">
        <v>32451</v>
      </c>
      <c r="H620" s="201">
        <v>32683</v>
      </c>
      <c r="I620" s="226">
        <v>1072</v>
      </c>
      <c r="J620" s="201">
        <v>2032</v>
      </c>
      <c r="K620" s="228">
        <v>2435</v>
      </c>
      <c r="L620" s="228"/>
      <c r="M620" s="228"/>
      <c r="N620" s="202">
        <v>2619</v>
      </c>
      <c r="O620" s="202"/>
      <c r="P620" s="202"/>
      <c r="Q620" s="228"/>
      <c r="R620" s="201"/>
      <c r="S620" s="225">
        <f t="shared" si="40"/>
        <v>0</v>
      </c>
      <c r="T620" s="229">
        <f t="shared" si="41"/>
        <v>0</v>
      </c>
      <c r="U620" s="226"/>
      <c r="V620" s="201"/>
      <c r="W620" s="226"/>
      <c r="X620" s="201"/>
      <c r="Y620" s="228"/>
      <c r="Z620" s="228"/>
      <c r="AA620" s="228"/>
      <c r="AB620" s="202"/>
      <c r="AC620" s="202"/>
      <c r="AD620" s="202"/>
      <c r="AE620" s="228"/>
      <c r="AF620" s="240"/>
    </row>
    <row r="621" spans="1:32" s="203" customFormat="1">
      <c r="A621" s="241" t="s">
        <v>199</v>
      </c>
      <c r="B621" s="281" t="s">
        <v>735</v>
      </c>
      <c r="C621" s="241">
        <v>237792</v>
      </c>
      <c r="D621" s="376">
        <v>6</v>
      </c>
      <c r="E621" s="225">
        <f t="shared" si="38"/>
        <v>103440</v>
      </c>
      <c r="F621" s="229">
        <f t="shared" si="39"/>
        <v>104117</v>
      </c>
      <c r="G621" s="226">
        <v>101824</v>
      </c>
      <c r="H621" s="201">
        <v>102180</v>
      </c>
      <c r="I621" s="226"/>
      <c r="J621" s="201"/>
      <c r="K621" s="228">
        <v>1616</v>
      </c>
      <c r="L621" s="228"/>
      <c r="M621" s="228"/>
      <c r="N621" s="202">
        <v>1937</v>
      </c>
      <c r="O621" s="202"/>
      <c r="P621" s="202"/>
      <c r="Q621" s="228"/>
      <c r="R621" s="201"/>
      <c r="S621" s="225">
        <f t="shared" si="40"/>
        <v>2427</v>
      </c>
      <c r="T621" s="229">
        <f t="shared" si="41"/>
        <v>2966</v>
      </c>
      <c r="U621" s="226">
        <v>2367</v>
      </c>
      <c r="V621" s="201">
        <v>2948</v>
      </c>
      <c r="W621" s="226"/>
      <c r="X621" s="201"/>
      <c r="Y621" s="228">
        <v>60</v>
      </c>
      <c r="Z621" s="228"/>
      <c r="AA621" s="228"/>
      <c r="AB621" s="202">
        <v>18</v>
      </c>
      <c r="AC621" s="202"/>
      <c r="AD621" s="202"/>
      <c r="AE621" s="228"/>
      <c r="AF621" s="240"/>
    </row>
    <row r="622" spans="1:32" s="203" customFormat="1">
      <c r="A622" s="241" t="s">
        <v>199</v>
      </c>
      <c r="B622" s="289" t="s">
        <v>837</v>
      </c>
      <c r="C622" s="241">
        <v>237932</v>
      </c>
      <c r="D622" s="376">
        <v>6</v>
      </c>
      <c r="E622" s="225">
        <f t="shared" si="38"/>
        <v>66081</v>
      </c>
      <c r="F622" s="229">
        <f t="shared" si="39"/>
        <v>68564</v>
      </c>
      <c r="G622" s="226">
        <v>63252</v>
      </c>
      <c r="H622" s="201">
        <v>65541</v>
      </c>
      <c r="I622" s="226">
        <v>1536</v>
      </c>
      <c r="J622" s="201">
        <v>1970</v>
      </c>
      <c r="K622" s="228">
        <v>1293</v>
      </c>
      <c r="L622" s="228"/>
      <c r="M622" s="228"/>
      <c r="N622" s="202">
        <v>1053</v>
      </c>
      <c r="O622" s="202"/>
      <c r="P622" s="202"/>
      <c r="Q622" s="228"/>
      <c r="R622" s="201"/>
      <c r="S622" s="225">
        <f t="shared" si="40"/>
        <v>84</v>
      </c>
      <c r="T622" s="229">
        <f t="shared" si="41"/>
        <v>78</v>
      </c>
      <c r="U622" s="226">
        <v>84</v>
      </c>
      <c r="V622" s="201">
        <v>78</v>
      </c>
      <c r="W622" s="226"/>
      <c r="X622" s="201"/>
      <c r="Y622" s="228"/>
      <c r="Z622" s="228"/>
      <c r="AA622" s="228"/>
      <c r="AB622" s="202"/>
      <c r="AC622" s="202"/>
      <c r="AD622" s="202"/>
      <c r="AE622" s="228"/>
      <c r="AF622" s="240"/>
    </row>
    <row r="623" spans="1:32" s="203" customFormat="1">
      <c r="A623" s="241" t="s">
        <v>199</v>
      </c>
      <c r="B623" s="281" t="s">
        <v>736</v>
      </c>
      <c r="C623" s="241">
        <v>237899</v>
      </c>
      <c r="D623" s="376">
        <v>6</v>
      </c>
      <c r="E623" s="225">
        <f t="shared" si="38"/>
        <v>78196</v>
      </c>
      <c r="F623" s="229">
        <f t="shared" si="39"/>
        <v>72669</v>
      </c>
      <c r="G623" s="226">
        <v>73013</v>
      </c>
      <c r="H623" s="201">
        <v>67612</v>
      </c>
      <c r="I623" s="226">
        <v>2820</v>
      </c>
      <c r="J623" s="201">
        <v>2656</v>
      </c>
      <c r="K623" s="228">
        <v>2291</v>
      </c>
      <c r="L623" s="228">
        <v>72</v>
      </c>
      <c r="M623" s="228"/>
      <c r="N623" s="202">
        <v>2335</v>
      </c>
      <c r="O623" s="202">
        <v>66</v>
      </c>
      <c r="P623" s="202"/>
      <c r="Q623" s="228"/>
      <c r="R623" s="201"/>
      <c r="S623" s="225">
        <f t="shared" si="40"/>
        <v>577</v>
      </c>
      <c r="T623" s="229">
        <f t="shared" si="41"/>
        <v>630</v>
      </c>
      <c r="U623" s="226">
        <v>556</v>
      </c>
      <c r="V623" s="201">
        <v>594</v>
      </c>
      <c r="W623" s="226">
        <v>21</v>
      </c>
      <c r="X623" s="201">
        <v>36</v>
      </c>
      <c r="Y623" s="228"/>
      <c r="Z623" s="228"/>
      <c r="AA623" s="228"/>
      <c r="AB623" s="202"/>
      <c r="AC623" s="202"/>
      <c r="AD623" s="202"/>
      <c r="AE623" s="228"/>
      <c r="AF623" s="240"/>
    </row>
    <row r="624" spans="1:32" s="203" customFormat="1">
      <c r="A624" s="241" t="s">
        <v>199</v>
      </c>
      <c r="B624" s="281" t="s">
        <v>737</v>
      </c>
      <c r="C624" s="241">
        <v>237950</v>
      </c>
      <c r="D624" s="376">
        <v>6</v>
      </c>
      <c r="E624" s="225">
        <f t="shared" si="38"/>
        <v>35476</v>
      </c>
      <c r="F624" s="229">
        <f t="shared" si="39"/>
        <v>33099</v>
      </c>
      <c r="G624" s="226">
        <v>31271</v>
      </c>
      <c r="H624" s="201">
        <v>29524</v>
      </c>
      <c r="I624" s="226">
        <v>1405</v>
      </c>
      <c r="J624" s="201">
        <v>932</v>
      </c>
      <c r="K624" s="228">
        <v>2500</v>
      </c>
      <c r="L624" s="228"/>
      <c r="M624" s="228">
        <v>300</v>
      </c>
      <c r="N624" s="202">
        <v>2430</v>
      </c>
      <c r="O624" s="202"/>
      <c r="P624" s="202">
        <v>213</v>
      </c>
      <c r="Q624" s="228"/>
      <c r="R624" s="201"/>
      <c r="S624" s="225">
        <f t="shared" si="40"/>
        <v>26</v>
      </c>
      <c r="T624" s="229">
        <f t="shared" si="41"/>
        <v>2</v>
      </c>
      <c r="U624" s="226">
        <v>26</v>
      </c>
      <c r="V624" s="201">
        <v>2</v>
      </c>
      <c r="W624" s="226"/>
      <c r="X624" s="201"/>
      <c r="Y624" s="228"/>
      <c r="Z624" s="228"/>
      <c r="AA624" s="228"/>
      <c r="AB624" s="202"/>
      <c r="AC624" s="202"/>
      <c r="AD624" s="202"/>
      <c r="AE624" s="228"/>
      <c r="AF624" s="240"/>
    </row>
    <row r="625" spans="1:32" s="203" customFormat="1">
      <c r="A625" s="241" t="s">
        <v>199</v>
      </c>
      <c r="B625" s="281" t="s">
        <v>738</v>
      </c>
      <c r="C625" s="241">
        <v>237686</v>
      </c>
      <c r="D625" s="376">
        <v>7</v>
      </c>
      <c r="E625" s="225">
        <f t="shared" si="38"/>
        <v>84369</v>
      </c>
      <c r="F625" s="229">
        <f t="shared" si="39"/>
        <v>84169</v>
      </c>
      <c r="G625" s="226">
        <v>54253</v>
      </c>
      <c r="H625" s="201">
        <v>53587</v>
      </c>
      <c r="I625" s="226">
        <v>15791</v>
      </c>
      <c r="J625" s="201">
        <v>13150</v>
      </c>
      <c r="K625" s="228">
        <v>14250</v>
      </c>
      <c r="L625" s="228"/>
      <c r="M625" s="228">
        <v>75</v>
      </c>
      <c r="N625" s="202">
        <v>16318</v>
      </c>
      <c r="O625" s="202"/>
      <c r="P625" s="202">
        <v>1114</v>
      </c>
      <c r="Q625" s="228"/>
      <c r="R625" s="201"/>
      <c r="S625" s="225">
        <f t="shared" si="40"/>
        <v>0</v>
      </c>
      <c r="T625" s="229">
        <f t="shared" si="41"/>
        <v>0</v>
      </c>
      <c r="U625" s="226"/>
      <c r="V625" s="201"/>
      <c r="W625" s="226"/>
      <c r="X625" s="201"/>
      <c r="Y625" s="228"/>
      <c r="Z625" s="228"/>
      <c r="AA625" s="228"/>
      <c r="AB625" s="202"/>
      <c r="AC625" s="202"/>
      <c r="AD625" s="202"/>
      <c r="AE625" s="228"/>
      <c r="AF625" s="240"/>
    </row>
    <row r="626" spans="1:32" s="203" customFormat="1">
      <c r="A626" s="241" t="s">
        <v>199</v>
      </c>
      <c r="B626" s="290" t="s">
        <v>739</v>
      </c>
      <c r="C626" s="241">
        <v>443492</v>
      </c>
      <c r="D626" s="376">
        <v>9</v>
      </c>
      <c r="E626" s="225">
        <f t="shared" si="38"/>
        <v>55730</v>
      </c>
      <c r="F626" s="229">
        <f t="shared" si="39"/>
        <v>56236</v>
      </c>
      <c r="G626" s="226">
        <v>30651</v>
      </c>
      <c r="H626" s="201">
        <v>29872</v>
      </c>
      <c r="I626" s="226">
        <v>21125</v>
      </c>
      <c r="J626" s="201">
        <v>21028</v>
      </c>
      <c r="K626" s="228">
        <v>3954</v>
      </c>
      <c r="L626" s="228"/>
      <c r="M626" s="228"/>
      <c r="N626" s="202">
        <v>5336</v>
      </c>
      <c r="O626" s="202"/>
      <c r="P626" s="202"/>
      <c r="Q626" s="228"/>
      <c r="R626" s="201"/>
      <c r="S626" s="225">
        <f t="shared" si="40"/>
        <v>0</v>
      </c>
      <c r="T626" s="229">
        <f t="shared" si="41"/>
        <v>0</v>
      </c>
      <c r="U626" s="226"/>
      <c r="V626" s="201"/>
      <c r="W626" s="226"/>
      <c r="X626" s="201"/>
      <c r="Y626" s="228"/>
      <c r="Z626" s="228"/>
      <c r="AA626" s="228"/>
      <c r="AB626" s="202"/>
      <c r="AC626" s="202"/>
      <c r="AD626" s="202"/>
      <c r="AE626" s="228"/>
      <c r="AF626" s="240"/>
    </row>
    <row r="627" spans="1:32">
      <c r="A627" s="241" t="s">
        <v>199</v>
      </c>
      <c r="B627" s="281" t="s">
        <v>740</v>
      </c>
      <c r="C627" s="241">
        <v>446774</v>
      </c>
      <c r="D627" s="376">
        <v>10</v>
      </c>
      <c r="E627" s="225">
        <f t="shared" si="38"/>
        <v>28553</v>
      </c>
      <c r="F627" s="229">
        <f t="shared" si="39"/>
        <v>33268</v>
      </c>
      <c r="G627" s="226">
        <v>23988</v>
      </c>
      <c r="H627" s="201">
        <v>23235</v>
      </c>
      <c r="I627" s="226">
        <v>0</v>
      </c>
      <c r="J627" s="201">
        <v>5108</v>
      </c>
      <c r="K627" s="228">
        <v>4523</v>
      </c>
      <c r="L627" s="228"/>
      <c r="M627" s="228">
        <v>42</v>
      </c>
      <c r="N627" s="202">
        <v>4925</v>
      </c>
      <c r="O627" s="202"/>
      <c r="P627" s="202"/>
      <c r="Q627" s="228">
        <v>0</v>
      </c>
      <c r="R627" s="201"/>
      <c r="S627" s="225">
        <f t="shared" si="40"/>
        <v>0</v>
      </c>
      <c r="T627" s="229">
        <f t="shared" si="41"/>
        <v>0</v>
      </c>
      <c r="U627" s="226"/>
      <c r="V627" s="201"/>
      <c r="W627" s="226"/>
      <c r="X627" s="201"/>
      <c r="Y627" s="228"/>
      <c r="Z627" s="228"/>
      <c r="AA627" s="228"/>
      <c r="AB627" s="202"/>
      <c r="AC627" s="202"/>
      <c r="AD627" s="202"/>
      <c r="AE627" s="228"/>
      <c r="AF627" s="240"/>
    </row>
    <row r="628" spans="1:32">
      <c r="A628" s="241" t="s">
        <v>199</v>
      </c>
      <c r="B628" s="281" t="s">
        <v>741</v>
      </c>
      <c r="C628" s="241">
        <v>445674</v>
      </c>
      <c r="D628" s="376">
        <v>10</v>
      </c>
      <c r="E628" s="225">
        <f t="shared" si="38"/>
        <v>17505</v>
      </c>
      <c r="F628" s="229">
        <f t="shared" si="39"/>
        <v>17376</v>
      </c>
      <c r="G628" s="226">
        <v>15554</v>
      </c>
      <c r="H628" s="201">
        <v>15620</v>
      </c>
      <c r="I628" s="226">
        <v>964</v>
      </c>
      <c r="J628" s="201">
        <v>606</v>
      </c>
      <c r="K628" s="228">
        <v>912</v>
      </c>
      <c r="L628" s="228"/>
      <c r="M628" s="228">
        <v>75</v>
      </c>
      <c r="N628" s="202">
        <v>1084</v>
      </c>
      <c r="O628" s="202"/>
      <c r="P628" s="202">
        <v>66</v>
      </c>
      <c r="Q628" s="228"/>
      <c r="R628" s="201"/>
      <c r="S628" s="225">
        <f t="shared" si="40"/>
        <v>0</v>
      </c>
      <c r="T628" s="229">
        <f t="shared" si="41"/>
        <v>0</v>
      </c>
      <c r="U628" s="226"/>
      <c r="V628" s="201"/>
      <c r="W628" s="226"/>
      <c r="X628" s="201"/>
      <c r="Y628" s="228"/>
      <c r="Z628" s="228"/>
      <c r="AA628" s="228"/>
      <c r="AB628" s="202"/>
      <c r="AC628" s="202"/>
      <c r="AD628" s="202"/>
      <c r="AE628" s="228"/>
      <c r="AF628" s="240"/>
    </row>
    <row r="629" spans="1:32">
      <c r="A629" s="241" t="s">
        <v>199</v>
      </c>
      <c r="B629" s="281" t="s">
        <v>742</v>
      </c>
      <c r="C629" s="241">
        <v>438708</v>
      </c>
      <c r="D629" s="376">
        <v>10</v>
      </c>
      <c r="E629" s="225">
        <f t="shared" si="38"/>
        <v>6214</v>
      </c>
      <c r="F629" s="229">
        <f t="shared" si="39"/>
        <v>6504</v>
      </c>
      <c r="G629" s="226">
        <v>2286</v>
      </c>
      <c r="H629" s="201">
        <v>2958</v>
      </c>
      <c r="I629" s="226">
        <v>1554</v>
      </c>
      <c r="J629" s="201">
        <v>1552</v>
      </c>
      <c r="K629" s="228">
        <v>1784</v>
      </c>
      <c r="L629" s="228">
        <f>481+109</f>
        <v>590</v>
      </c>
      <c r="M629" s="228"/>
      <c r="N629" s="202">
        <v>1523</v>
      </c>
      <c r="O629" s="202">
        <f>378+93</f>
        <v>471</v>
      </c>
      <c r="P629" s="202"/>
      <c r="Q629" s="228"/>
      <c r="R629" s="201"/>
      <c r="S629" s="225">
        <f t="shared" si="40"/>
        <v>0</v>
      </c>
      <c r="T629" s="229">
        <f t="shared" si="41"/>
        <v>0</v>
      </c>
      <c r="U629" s="226"/>
      <c r="V629" s="201"/>
      <c r="W629" s="226"/>
      <c r="X629" s="201"/>
      <c r="Y629" s="228"/>
      <c r="Z629" s="228"/>
      <c r="AA629" s="228"/>
      <c r="AB629" s="202"/>
      <c r="AC629" s="202"/>
      <c r="AD629" s="202"/>
      <c r="AE629" s="228"/>
      <c r="AF629" s="240"/>
    </row>
    <row r="630" spans="1:32">
      <c r="A630" s="241" t="s">
        <v>199</v>
      </c>
      <c r="B630" s="281" t="s">
        <v>743</v>
      </c>
      <c r="C630" s="241">
        <v>444954</v>
      </c>
      <c r="D630" s="376">
        <v>10</v>
      </c>
      <c r="E630" s="225">
        <f t="shared" si="38"/>
        <v>45943</v>
      </c>
      <c r="F630" s="229">
        <f t="shared" si="39"/>
        <v>48126</v>
      </c>
      <c r="G630" s="226">
        <v>29488</v>
      </c>
      <c r="H630" s="201">
        <v>30255</v>
      </c>
      <c r="I630" s="226">
        <v>12660</v>
      </c>
      <c r="J630" s="201">
        <v>13383</v>
      </c>
      <c r="K630" s="228">
        <v>3795</v>
      </c>
      <c r="L630" s="228"/>
      <c r="M630" s="228"/>
      <c r="N630" s="202">
        <v>4464</v>
      </c>
      <c r="O630" s="202">
        <f>21+3</f>
        <v>24</v>
      </c>
      <c r="P630" s="202"/>
      <c r="Q630" s="228"/>
      <c r="R630" s="201"/>
      <c r="S630" s="225">
        <f t="shared" si="40"/>
        <v>0</v>
      </c>
      <c r="T630" s="229">
        <f t="shared" si="41"/>
        <v>0</v>
      </c>
      <c r="U630" s="226"/>
      <c r="V630" s="201"/>
      <c r="W630" s="226"/>
      <c r="X630" s="201"/>
      <c r="Y630" s="228"/>
      <c r="Z630" s="228"/>
      <c r="AA630" s="228"/>
      <c r="AB630" s="202"/>
      <c r="AC630" s="202"/>
      <c r="AD630" s="202"/>
      <c r="AE630" s="228"/>
      <c r="AF630" s="240"/>
    </row>
    <row r="631" spans="1:32">
      <c r="A631" s="241" t="s">
        <v>199</v>
      </c>
      <c r="B631" s="281" t="s">
        <v>744</v>
      </c>
      <c r="C631" s="241">
        <v>447582</v>
      </c>
      <c r="D631" s="376">
        <v>10</v>
      </c>
      <c r="E631" s="225">
        <f t="shared" si="38"/>
        <v>42022</v>
      </c>
      <c r="F631" s="229">
        <f t="shared" si="39"/>
        <v>47327</v>
      </c>
      <c r="G631" s="226">
        <v>1655</v>
      </c>
      <c r="H631" s="201">
        <v>1371</v>
      </c>
      <c r="I631" s="226">
        <v>32907</v>
      </c>
      <c r="J631" s="201">
        <v>36561</v>
      </c>
      <c r="K631" s="228">
        <v>6059</v>
      </c>
      <c r="L631" s="228">
        <f>24+1257</f>
        <v>1281</v>
      </c>
      <c r="M631" s="228">
        <v>120</v>
      </c>
      <c r="N631" s="202">
        <v>7425</v>
      </c>
      <c r="O631" s="202">
        <f>45+1844</f>
        <v>1889</v>
      </c>
      <c r="P631" s="202">
        <v>81</v>
      </c>
      <c r="Q631" s="228"/>
      <c r="R631" s="201"/>
      <c r="S631" s="225">
        <f t="shared" si="40"/>
        <v>0</v>
      </c>
      <c r="T631" s="229">
        <f t="shared" si="41"/>
        <v>0</v>
      </c>
      <c r="U631" s="226"/>
      <c r="V631" s="201"/>
      <c r="W631" s="226"/>
      <c r="X631" s="201"/>
      <c r="Y631" s="228"/>
      <c r="Z631" s="228"/>
      <c r="AA631" s="228"/>
      <c r="AB631" s="202"/>
      <c r="AC631" s="202"/>
      <c r="AD631" s="202"/>
      <c r="AE631" s="228"/>
      <c r="AF631" s="240"/>
    </row>
    <row r="632" spans="1:32">
      <c r="A632" s="241" t="s">
        <v>199</v>
      </c>
      <c r="B632" s="290" t="s">
        <v>745</v>
      </c>
      <c r="C632" s="241">
        <v>237701</v>
      </c>
      <c r="D632" s="376">
        <v>10</v>
      </c>
      <c r="E632" s="225">
        <f t="shared" si="38"/>
        <v>35523</v>
      </c>
      <c r="F632" s="229">
        <f t="shared" si="39"/>
        <v>36270</v>
      </c>
      <c r="G632" s="226">
        <v>31095</v>
      </c>
      <c r="H632" s="201">
        <v>32226</v>
      </c>
      <c r="I632" s="226">
        <v>3286</v>
      </c>
      <c r="J632" s="201">
        <v>3206</v>
      </c>
      <c r="K632" s="228">
        <v>1142</v>
      </c>
      <c r="L632" s="228"/>
      <c r="M632" s="228"/>
      <c r="N632" s="202">
        <v>826</v>
      </c>
      <c r="O632" s="202"/>
      <c r="P632" s="202">
        <v>12</v>
      </c>
      <c r="Q632" s="228"/>
      <c r="R632" s="201"/>
      <c r="S632" s="225">
        <f t="shared" si="40"/>
        <v>0</v>
      </c>
      <c r="T632" s="229">
        <f t="shared" si="41"/>
        <v>0</v>
      </c>
      <c r="U632" s="226"/>
      <c r="V632" s="201"/>
      <c r="W632" s="226"/>
      <c r="X632" s="201"/>
      <c r="Y632" s="228"/>
      <c r="Z632" s="228"/>
      <c r="AA632" s="228"/>
      <c r="AB632" s="202"/>
      <c r="AC632" s="202"/>
      <c r="AD632" s="202"/>
      <c r="AE632" s="228"/>
      <c r="AF632" s="240"/>
    </row>
    <row r="633" spans="1:32">
      <c r="A633" s="241" t="s">
        <v>199</v>
      </c>
      <c r="B633" s="281" t="s">
        <v>746</v>
      </c>
      <c r="C633" s="241">
        <v>237817</v>
      </c>
      <c r="D633" s="376">
        <v>10</v>
      </c>
      <c r="E633" s="225">
        <f t="shared" si="38"/>
        <v>48328</v>
      </c>
      <c r="F633" s="229">
        <f t="shared" si="39"/>
        <v>49564</v>
      </c>
      <c r="G633" s="226">
        <v>40106</v>
      </c>
      <c r="H633" s="201">
        <v>38979</v>
      </c>
      <c r="I633" s="226">
        <v>2839</v>
      </c>
      <c r="J633" s="201">
        <v>4380</v>
      </c>
      <c r="K633" s="228">
        <v>3534</v>
      </c>
      <c r="L633" s="228">
        <f>1606+113</f>
        <v>1719</v>
      </c>
      <c r="M633" s="228">
        <v>30</v>
      </c>
      <c r="N633" s="202">
        <v>4131</v>
      </c>
      <c r="O633" s="202">
        <v>1933</v>
      </c>
      <c r="P633" s="202">
        <v>57</v>
      </c>
      <c r="Q633" s="228">
        <v>100</v>
      </c>
      <c r="R633" s="201">
        <v>84</v>
      </c>
      <c r="S633" s="225">
        <f t="shared" si="40"/>
        <v>0</v>
      </c>
      <c r="T633" s="229">
        <f t="shared" si="41"/>
        <v>0</v>
      </c>
      <c r="U633" s="226"/>
      <c r="V633" s="201"/>
      <c r="W633" s="226"/>
      <c r="X633" s="201"/>
      <c r="Y633" s="228"/>
      <c r="Z633" s="228"/>
      <c r="AA633" s="228"/>
      <c r="AB633" s="202"/>
      <c r="AC633" s="202"/>
      <c r="AD633" s="202"/>
      <c r="AE633" s="228"/>
      <c r="AF633" s="240"/>
    </row>
    <row r="634" spans="1:32">
      <c r="A634" s="241" t="s">
        <v>199</v>
      </c>
      <c r="B634" s="281" t="s">
        <v>747</v>
      </c>
      <c r="C634" s="241">
        <v>238014</v>
      </c>
      <c r="D634" s="376">
        <v>10</v>
      </c>
      <c r="E634" s="225">
        <f t="shared" si="38"/>
        <v>63253</v>
      </c>
      <c r="F634" s="229">
        <f t="shared" si="39"/>
        <v>59171</v>
      </c>
      <c r="G634" s="226">
        <v>56890</v>
      </c>
      <c r="H634" s="201">
        <v>52244</v>
      </c>
      <c r="I634" s="226">
        <v>1</v>
      </c>
      <c r="J634" s="201"/>
      <c r="K634" s="228">
        <v>2881</v>
      </c>
      <c r="L634" s="228">
        <v>3481</v>
      </c>
      <c r="M634" s="228"/>
      <c r="N634" s="202">
        <v>3745</v>
      </c>
      <c r="O634" s="202">
        <v>3182</v>
      </c>
      <c r="P634" s="202"/>
      <c r="Q634" s="228"/>
      <c r="R634" s="201"/>
      <c r="S634" s="225">
        <f t="shared" si="40"/>
        <v>0</v>
      </c>
      <c r="T634" s="229">
        <f t="shared" si="41"/>
        <v>0</v>
      </c>
      <c r="U634" s="226"/>
      <c r="V634" s="201"/>
      <c r="W634" s="226"/>
      <c r="X634" s="201"/>
      <c r="Y634" s="228"/>
      <c r="Z634" s="228"/>
      <c r="AA634" s="228"/>
      <c r="AB634" s="202"/>
      <c r="AC634" s="202"/>
      <c r="AD634" s="202"/>
      <c r="AE634" s="228"/>
      <c r="AF634" s="240"/>
    </row>
    <row r="635" spans="1:32">
      <c r="A635" s="241" t="s">
        <v>199</v>
      </c>
      <c r="B635" s="281" t="s">
        <v>748</v>
      </c>
      <c r="C635" s="241">
        <v>445018</v>
      </c>
      <c r="D635" s="376">
        <v>10</v>
      </c>
      <c r="E635" s="225">
        <f t="shared" si="38"/>
        <v>37177</v>
      </c>
      <c r="F635" s="229">
        <f t="shared" si="39"/>
        <v>38152</v>
      </c>
      <c r="G635" s="226">
        <v>34820</v>
      </c>
      <c r="H635" s="201">
        <v>35585</v>
      </c>
      <c r="I635" s="226">
        <v>851</v>
      </c>
      <c r="J635" s="201">
        <v>779</v>
      </c>
      <c r="K635" s="228">
        <v>1503</v>
      </c>
      <c r="L635" s="228">
        <v>3</v>
      </c>
      <c r="M635" s="228"/>
      <c r="N635" s="202">
        <v>1788</v>
      </c>
      <c r="O635" s="202"/>
      <c r="P635" s="202"/>
      <c r="Q635" s="228"/>
      <c r="R635" s="201"/>
      <c r="S635" s="225">
        <f t="shared" si="40"/>
        <v>0</v>
      </c>
      <c r="T635" s="229">
        <f t="shared" si="41"/>
        <v>0</v>
      </c>
      <c r="U635" s="226"/>
      <c r="V635" s="201"/>
      <c r="W635" s="226"/>
      <c r="X635" s="201"/>
      <c r="Y635" s="228"/>
      <c r="Z635" s="228"/>
      <c r="AA635" s="228"/>
      <c r="AB635" s="202"/>
      <c r="AC635" s="202"/>
      <c r="AD635" s="202"/>
      <c r="AE635" s="228"/>
      <c r="AF635" s="240"/>
    </row>
  </sheetData>
  <sortState ref="A5:AF635">
    <sortCondition ref="A5:A635"/>
    <sortCondition ref="D5:D635"/>
    <sortCondition ref="B5:B635"/>
  </sortState>
  <phoneticPr fontId="2" type="noConversion"/>
  <conditionalFormatting sqref="N568:P568 AB568:AD568 AB271:AD313 N271:P313 N372:P464 AB372:AD464 H238:H589 AB5:AD103 R5:R589 AF5:AF589 V5:V589 X5:X589 N5:P204 J5:J589 H5:H236 AB115:AD204">
    <cfRule type="expression" dxfId="1802" priority="53" stopIfTrue="1">
      <formula>H5&lt;(G5-(G5*0.1))</formula>
    </cfRule>
    <cfRule type="expression" dxfId="1801" priority="54" stopIfTrue="1">
      <formula>H5&gt;(G5+(G5*0.1))</formula>
    </cfRule>
  </conditionalFormatting>
  <conditionalFormatting sqref="AB104:AD114 N104:P114 N314:P387 AB314:AD387 AB569:AD589 AB465:AD567 N465:P567 N569:P589 AB205:AD270 N205:P270">
    <cfRule type="expression" dxfId="1800" priority="55" stopIfTrue="1">
      <formula>N104&lt;(K104-(K104*0.1))</formula>
    </cfRule>
    <cfRule type="expression" dxfId="1799" priority="56" stopIfTrue="1">
      <formula>N104&gt;(K104+(K104*0.1))</formula>
    </cfRule>
  </conditionalFormatting>
  <conditionalFormatting sqref="J590:J594 R590:R594 V590:V594 X590:X594 AF590:AF594 H590:H594">
    <cfRule type="expression" dxfId="1798" priority="51" stopIfTrue="1">
      <formula>H590&lt;(G590-(G590*0.1))</formula>
    </cfRule>
    <cfRule type="expression" dxfId="1797" priority="52" stopIfTrue="1">
      <formula>H590&gt;(G590+(G590*0.1))</formula>
    </cfRule>
  </conditionalFormatting>
  <conditionalFormatting sqref="N590:P594 AB590:AD594">
    <cfRule type="expression" dxfId="1796" priority="49" stopIfTrue="1">
      <formula>N590&lt;(K590-(K590*0.1))</formula>
    </cfRule>
    <cfRule type="expression" dxfId="1795" priority="50" stopIfTrue="1">
      <formula>N590&gt;(K590+(K590*0.1))</formula>
    </cfRule>
  </conditionalFormatting>
  <conditionalFormatting sqref="H595:H627 J595:J627 R595:R627 N595:P627 V595:V627 X595:X627 AF595:AF627 AB595:AD627">
    <cfRule type="expression" dxfId="1794" priority="47" stopIfTrue="1">
      <formula>H595&lt;(G595-(G595*0.1))</formula>
    </cfRule>
    <cfRule type="expression" dxfId="1793" priority="48" stopIfTrue="1">
      <formula>H595&gt;(G595+(G595*0.1))</formula>
    </cfRule>
  </conditionalFormatting>
  <conditionalFormatting sqref="H237">
    <cfRule type="expression" dxfId="1792" priority="45" stopIfTrue="1">
      <formula>H237&lt;(G237-(G237*0.1))</formula>
    </cfRule>
    <cfRule type="expression" dxfId="1791" priority="46" stopIfTrue="1">
      <formula>H237&gt;(G237+(G237*0.1))</formula>
    </cfRule>
  </conditionalFormatting>
  <conditionalFormatting sqref="J628:J635 R628:R635 V628:V635 X628:X635 AF628:AF635 H628:H635">
    <cfRule type="expression" dxfId="1790" priority="43" stopIfTrue="1">
      <formula>H628&lt;(G628-(G628*0.1))</formula>
    </cfRule>
    <cfRule type="expression" dxfId="1789" priority="44" stopIfTrue="1">
      <formula>H628&gt;(G628+(G628*0.1))</formula>
    </cfRule>
  </conditionalFormatting>
  <conditionalFormatting sqref="N628:P635 AB628:AD635">
    <cfRule type="expression" dxfId="1788" priority="41" stopIfTrue="1">
      <formula>N628&lt;(K628-(K628*0.1))</formula>
    </cfRule>
    <cfRule type="expression" dxfId="1787" priority="42" stopIfTrue="1">
      <formula>N628&gt;(K628+(K628*0.1))</formula>
    </cfRule>
  </conditionalFormatting>
  <conditionalFormatting sqref="X303">
    <cfRule type="expression" dxfId="1786" priority="39" stopIfTrue="1">
      <formula>X303&lt;(W303-(W303*0.1))</formula>
    </cfRule>
    <cfRule type="expression" dxfId="1785" priority="40" stopIfTrue="1">
      <formula>X303&gt;(W303+(W303*0.1))</formula>
    </cfRule>
  </conditionalFormatting>
  <conditionalFormatting sqref="AB303">
    <cfRule type="expression" dxfId="1784" priority="37" stopIfTrue="1">
      <formula>AB303&lt;(AA303-(AA303*0.1))</formula>
    </cfRule>
    <cfRule type="expression" dxfId="1783" priority="38" stopIfTrue="1">
      <formula>AB303&gt;(AA303+(AA303*0.1))</formula>
    </cfRule>
  </conditionalFormatting>
  <conditionalFormatting sqref="H45">
    <cfRule type="expression" dxfId="1782" priority="35" stopIfTrue="1">
      <formula>H45&lt;(G45-(G45*0.1))</formula>
    </cfRule>
    <cfRule type="expression" dxfId="1781" priority="36" stopIfTrue="1">
      <formula>H45&gt;(G45+(G45*0.1))</formula>
    </cfRule>
  </conditionalFormatting>
  <conditionalFormatting sqref="H46">
    <cfRule type="expression" dxfId="1780" priority="33" stopIfTrue="1">
      <formula>H46&lt;(G46-(G46*0.1))</formula>
    </cfRule>
    <cfRule type="expression" dxfId="1779" priority="34" stopIfTrue="1">
      <formula>H46&gt;(G46+(G46*0.1))</formula>
    </cfRule>
  </conditionalFormatting>
  <conditionalFormatting sqref="H47">
    <cfRule type="expression" dxfId="1778" priority="31" stopIfTrue="1">
      <formula>H47&lt;(G47-(G47*0.1))</formula>
    </cfRule>
    <cfRule type="expression" dxfId="1777" priority="32" stopIfTrue="1">
      <formula>H47&gt;(G47+(G47*0.1))</formula>
    </cfRule>
  </conditionalFormatting>
  <conditionalFormatting sqref="H44:H75">
    <cfRule type="expression" dxfId="1776" priority="29" stopIfTrue="1">
      <formula>H44&lt;(G44-(G44*0.1))</formula>
    </cfRule>
    <cfRule type="expression" dxfId="1775" priority="30" stopIfTrue="1">
      <formula>H44&gt;(G44+(G44*0.1))</formula>
    </cfRule>
  </conditionalFormatting>
  <conditionalFormatting sqref="J44:J75">
    <cfRule type="expression" dxfId="1774" priority="27" stopIfTrue="1">
      <formula>J44&lt;(I44-(I44*0.1))</formula>
    </cfRule>
    <cfRule type="expression" dxfId="1773" priority="28" stopIfTrue="1">
      <formula>J44&gt;(I44+(I44*0.1))</formula>
    </cfRule>
  </conditionalFormatting>
  <conditionalFormatting sqref="N44:P75">
    <cfRule type="expression" dxfId="1772" priority="25" stopIfTrue="1">
      <formula>N44&lt;(M44-(M44*0.1))</formula>
    </cfRule>
    <cfRule type="expression" dxfId="1771" priority="26" stopIfTrue="1">
      <formula>N44&gt;(M44+(M44*0.1))</formula>
    </cfRule>
  </conditionalFormatting>
  <conditionalFormatting sqref="R47">
    <cfRule type="expression" dxfId="1770" priority="23" stopIfTrue="1">
      <formula>R47&lt;(Q47-(Q47*0.1))</formula>
    </cfRule>
    <cfRule type="expression" dxfId="1769" priority="24" stopIfTrue="1">
      <formula>R47&gt;(Q47+(Q47*0.1))</formula>
    </cfRule>
  </conditionalFormatting>
  <conditionalFormatting sqref="V44:V52">
    <cfRule type="expression" dxfId="1768" priority="21" stopIfTrue="1">
      <formula>V44&lt;(U44-(U44*0.1))</formula>
    </cfRule>
    <cfRule type="expression" dxfId="1767" priority="22" stopIfTrue="1">
      <formula>V44&gt;(U44+(U44*0.1))</formula>
    </cfRule>
  </conditionalFormatting>
  <conditionalFormatting sqref="H44:H75">
    <cfRule type="expression" dxfId="1766" priority="19" stopIfTrue="1">
      <formula>H44&lt;(G44-(G44*0.1))</formula>
    </cfRule>
    <cfRule type="expression" dxfId="1765" priority="20" stopIfTrue="1">
      <formula>H44&gt;(G44+(G44*0.1))</formula>
    </cfRule>
  </conditionalFormatting>
  <conditionalFormatting sqref="J44:J75">
    <cfRule type="expression" dxfId="1764" priority="17" stopIfTrue="1">
      <formula>J44&lt;(I44-(I44*0.1))</formula>
    </cfRule>
    <cfRule type="expression" dxfId="1763" priority="18" stopIfTrue="1">
      <formula>J44&gt;(I44+(I44*0.1))</formula>
    </cfRule>
  </conditionalFormatting>
  <conditionalFormatting sqref="N44:P75">
    <cfRule type="expression" dxfId="1762" priority="15" stopIfTrue="1">
      <formula>N44&lt;(M44-(M44*0.1))</formula>
    </cfRule>
    <cfRule type="expression" dxfId="1761" priority="16" stopIfTrue="1">
      <formula>N44&gt;(M44+(M44*0.1))</formula>
    </cfRule>
  </conditionalFormatting>
  <conditionalFormatting sqref="V44:V53">
    <cfRule type="expression" dxfId="1760" priority="13" stopIfTrue="1">
      <formula>V44&lt;(U44-(U44*0.1))</formula>
    </cfRule>
    <cfRule type="expression" dxfId="1759" priority="14" stopIfTrue="1">
      <formula>V44&gt;(U44+(U44*0.1))</formula>
    </cfRule>
  </conditionalFormatting>
  <conditionalFormatting sqref="H44:H75">
    <cfRule type="expression" dxfId="1758" priority="11" stopIfTrue="1">
      <formula>H44&lt;(G44-(G44*0.1))</formula>
    </cfRule>
    <cfRule type="expression" dxfId="1757" priority="12" stopIfTrue="1">
      <formula>H44&gt;(G44+(G44*0.1))</formula>
    </cfRule>
  </conditionalFormatting>
  <conditionalFormatting sqref="J44:J75">
    <cfRule type="expression" dxfId="1756" priority="9" stopIfTrue="1">
      <formula>J44&lt;(I44-(I44*0.1))</formula>
    </cfRule>
    <cfRule type="expression" dxfId="1755" priority="10" stopIfTrue="1">
      <formula>J44&gt;(I44+(I44*0.1))</formula>
    </cfRule>
  </conditionalFormatting>
  <conditionalFormatting sqref="N44:P75">
    <cfRule type="expression" dxfId="1754" priority="7" stopIfTrue="1">
      <formula>N44&lt;(M44-(M44*0.1))</formula>
    </cfRule>
    <cfRule type="expression" dxfId="1753" priority="8" stopIfTrue="1">
      <formula>N44&gt;(M44+(M44*0.1))</formula>
    </cfRule>
  </conditionalFormatting>
  <conditionalFormatting sqref="V44:V53">
    <cfRule type="expression" dxfId="1752" priority="5" stopIfTrue="1">
      <formula>V44&lt;(U44-(U44*0.1))</formula>
    </cfRule>
    <cfRule type="expression" dxfId="1751" priority="6" stopIfTrue="1">
      <formula>V44&gt;(U44+(U44*0.1))</formula>
    </cfRule>
  </conditionalFormatting>
  <conditionalFormatting sqref="X44:X53">
    <cfRule type="expression" dxfId="1750" priority="3" stopIfTrue="1">
      <formula>X44&lt;(W44-(W44*0.1))</formula>
    </cfRule>
    <cfRule type="expression" dxfId="1749" priority="4" stopIfTrue="1">
      <formula>X44&gt;(W44+(W44*0.1))</formula>
    </cfRule>
  </conditionalFormatting>
  <conditionalFormatting sqref="AB44:AD53">
    <cfRule type="expression" dxfId="1748" priority="1" stopIfTrue="1">
      <formula>AB44&lt;(AA44-(AA44*0.1))</formula>
    </cfRule>
    <cfRule type="expression" dxfId="1747" priority="2" stopIfTrue="1">
      <formula>AB44&gt;(AA44+(AA44*0.1))</formula>
    </cfRule>
  </conditionalFormatting>
  <pageMargins left="0.32" right="0.33" top="0.5" bottom="0.5" header="0.5" footer="0.5"/>
  <pageSetup scale="79" fitToWidth="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6" enableFormatConditionsCalculation="0">
    <tabColor indexed="16"/>
  </sheetPr>
  <dimension ref="A1:AN117"/>
  <sheetViews>
    <sheetView showGridLines="0" showZeros="0" tabSelected="1" view="pageBreakPreview" zoomScale="80" zoomScaleNormal="75" zoomScaleSheetLayoutView="80" workbookViewId="0">
      <selection activeCell="F37" sqref="F37"/>
    </sheetView>
  </sheetViews>
  <sheetFormatPr defaultRowHeight="12.75"/>
  <cols>
    <col min="1" max="1" width="12.7109375" customWidth="1"/>
    <col min="2" max="2" width="6.7109375" customWidth="1"/>
    <col min="3" max="3" width="6.140625" customWidth="1"/>
    <col min="4" max="7" width="7.7109375" customWidth="1"/>
    <col min="8" max="8" width="7.7109375" style="111" customWidth="1"/>
    <col min="9" max="9" width="8.42578125" customWidth="1"/>
    <col min="10" max="10" width="10.140625" customWidth="1"/>
    <col min="11" max="12" width="7.7109375" customWidth="1"/>
    <col min="13" max="13" width="7.7109375" style="1" customWidth="1"/>
    <col min="14" max="15" width="7.7109375" customWidth="1"/>
    <col min="16" max="16" width="7.7109375" style="111" customWidth="1"/>
    <col min="24" max="24" width="13.28515625" customWidth="1"/>
  </cols>
  <sheetData>
    <row r="1" spans="1:33" ht="18">
      <c r="A1" s="15" t="s">
        <v>38</v>
      </c>
      <c r="B1" s="5"/>
      <c r="C1" s="5"/>
      <c r="D1" s="5"/>
      <c r="E1" s="5"/>
      <c r="F1" s="5"/>
      <c r="G1" s="10"/>
      <c r="H1" s="143"/>
      <c r="I1" s="10"/>
      <c r="J1" s="10"/>
      <c r="K1" s="10"/>
      <c r="L1" s="10"/>
      <c r="M1" s="34"/>
      <c r="N1" s="10"/>
      <c r="O1" s="10"/>
      <c r="P1" s="143"/>
    </row>
    <row r="2" spans="1:33" s="8" customFormat="1">
      <c r="A2" s="58"/>
      <c r="B2" s="7"/>
      <c r="C2" s="7"/>
      <c r="D2" s="7"/>
      <c r="E2" s="7"/>
      <c r="F2" s="7"/>
      <c r="G2" s="7"/>
      <c r="H2" s="17"/>
      <c r="I2" s="7"/>
      <c r="J2" s="7"/>
      <c r="K2" s="7"/>
      <c r="L2" s="7"/>
      <c r="M2" s="57"/>
      <c r="N2" s="7"/>
      <c r="O2" s="7"/>
      <c r="P2" s="17"/>
    </row>
    <row r="3" spans="1:33" ht="15.75">
      <c r="A3" s="6" t="s">
        <v>749</v>
      </c>
      <c r="B3" s="7"/>
      <c r="C3" s="7"/>
      <c r="D3" s="7"/>
      <c r="E3" s="7"/>
      <c r="F3" s="7"/>
      <c r="G3" s="10"/>
      <c r="H3" s="143"/>
      <c r="I3" s="10"/>
      <c r="J3" s="10"/>
      <c r="K3" s="10"/>
      <c r="L3" s="10"/>
      <c r="M3" s="34"/>
      <c r="N3" s="10"/>
      <c r="O3" s="10"/>
      <c r="P3" s="143"/>
    </row>
    <row r="4" spans="1:33">
      <c r="A4" s="11"/>
      <c r="B4" s="2"/>
      <c r="C4" s="2"/>
      <c r="D4" s="2"/>
      <c r="E4" s="2"/>
      <c r="F4" s="2"/>
      <c r="G4" s="2"/>
      <c r="H4" s="161"/>
      <c r="I4" s="2"/>
      <c r="J4" s="2"/>
      <c r="K4" s="2"/>
      <c r="L4" s="2"/>
    </row>
    <row r="5" spans="1:33" s="33" customFormat="1" ht="18" customHeight="1">
      <c r="A5" s="12"/>
      <c r="B5" s="590" t="s">
        <v>203</v>
      </c>
      <c r="C5" s="590"/>
      <c r="D5" s="590"/>
      <c r="E5" s="590"/>
      <c r="F5" s="590"/>
      <c r="G5" s="590"/>
      <c r="H5" s="591"/>
      <c r="I5" s="592" t="s">
        <v>208</v>
      </c>
      <c r="J5" s="590"/>
      <c r="K5" s="590"/>
      <c r="L5" s="590"/>
      <c r="M5" s="590"/>
      <c r="N5" s="96" t="s">
        <v>219</v>
      </c>
      <c r="O5" s="95"/>
      <c r="P5" s="144"/>
      <c r="R5"/>
      <c r="S5"/>
      <c r="T5"/>
      <c r="U5"/>
      <c r="V5"/>
      <c r="W5"/>
      <c r="X5"/>
      <c r="Y5"/>
      <c r="Z5"/>
      <c r="AA5"/>
      <c r="AB5"/>
      <c r="AC5"/>
      <c r="AD5"/>
      <c r="AE5"/>
      <c r="AF5"/>
      <c r="AG5"/>
    </row>
    <row r="6" spans="1:33" s="61" customFormat="1" ht="25.5">
      <c r="A6" s="13"/>
      <c r="B6" s="59">
        <v>1</v>
      </c>
      <c r="C6" s="59">
        <v>2</v>
      </c>
      <c r="D6" s="59">
        <v>3</v>
      </c>
      <c r="E6" s="59">
        <v>4</v>
      </c>
      <c r="F6" s="59">
        <v>5</v>
      </c>
      <c r="G6" s="59">
        <v>6</v>
      </c>
      <c r="H6" s="162" t="s">
        <v>19</v>
      </c>
      <c r="I6" s="97" t="s">
        <v>214</v>
      </c>
      <c r="J6" s="59">
        <v>1</v>
      </c>
      <c r="K6" s="59">
        <v>2</v>
      </c>
      <c r="L6" s="59">
        <v>3</v>
      </c>
      <c r="M6" s="60" t="s">
        <v>19</v>
      </c>
      <c r="N6" s="60">
        <v>1</v>
      </c>
      <c r="O6" s="59">
        <v>2</v>
      </c>
      <c r="P6" s="145" t="s">
        <v>19</v>
      </c>
      <c r="R6"/>
      <c r="S6"/>
      <c r="T6"/>
      <c r="U6"/>
      <c r="V6"/>
      <c r="W6"/>
      <c r="X6"/>
      <c r="Y6"/>
      <c r="Z6"/>
      <c r="AA6"/>
      <c r="AB6"/>
      <c r="AC6"/>
      <c r="AD6"/>
      <c r="AE6"/>
      <c r="AF6"/>
      <c r="AG6"/>
    </row>
    <row r="7" spans="1:33" ht="15.75" customHeight="1">
      <c r="A7" s="8" t="s">
        <v>220</v>
      </c>
      <c r="B7" s="78">
        <f>'Tables by type (55-76)'!B41+'Tables by type (55-76)'!C41</f>
        <v>96.660203160224668</v>
      </c>
      <c r="C7" s="78">
        <f>'Tables by type (55-76)'!B72+'Tables by type (55-76)'!C72</f>
        <v>98.581958019548154</v>
      </c>
      <c r="D7" s="78">
        <f>'Tables by type (55-76)'!B103+'Tables by type (55-76)'!C103</f>
        <v>85.815307982937554</v>
      </c>
      <c r="E7" s="78">
        <f>'Tables by type (55-76)'!B134+'Tables by type (55-76)'!C134</f>
        <v>94.360268327225683</v>
      </c>
      <c r="F7" s="78">
        <f>'Tables by type (55-76)'!B164+'Tables by type (55-76)'!C164</f>
        <v>97.407120743034056</v>
      </c>
      <c r="G7" s="78">
        <f>'Tables by type (55-76)'!B195+'Tables by type (55-76)'!C195</f>
        <v>31.396268085480166</v>
      </c>
      <c r="H7" s="163">
        <f>+'Tables by type (55-76)'!B9+'Tables by type (55-76)'!C9</f>
        <v>91.952177088014381</v>
      </c>
      <c r="I7" s="79">
        <f>'Tables by type (55-76)'!B257+'Tables by type (55-76)'!C257</f>
        <v>0</v>
      </c>
      <c r="J7" s="78">
        <f>'Tables by type (55-76)'!B288+'Tables by type (55-76)'!C288</f>
        <v>87.60228184092658</v>
      </c>
      <c r="K7" s="78">
        <f>'Tables by type (55-76)'!B319+'Tables by type (55-76)'!C319</f>
        <v>88.613603825315579</v>
      </c>
      <c r="L7" s="78">
        <f>'Tables by type (55-76)'!B349+'Tables by type (55-76)'!C349</f>
        <v>82.695818502073308</v>
      </c>
      <c r="M7" s="79">
        <f>+'Tables by type (55-76)'!B226+'Tables by type (55-76)'!C226</f>
        <v>87.039234637076547</v>
      </c>
      <c r="N7" s="98">
        <f>+'Tables by type (55-76)'!B410+'Tables by type (55-76)'!C410</f>
        <v>91.512051798247995</v>
      </c>
      <c r="O7" s="99">
        <f>+'Tables by type (55-76)'!B440+'Tables by type (55-76)'!C440</f>
        <v>100</v>
      </c>
      <c r="P7" s="146">
        <f>+'Tables by type (55-76)'!B380+'Tables by type (55-76)'!C380</f>
        <v>94.044665012406952</v>
      </c>
      <c r="Q7" s="132"/>
      <c r="R7" s="132"/>
      <c r="V7" s="132"/>
    </row>
    <row r="8" spans="1:33" ht="15.75" customHeight="1">
      <c r="A8" s="8" t="s">
        <v>221</v>
      </c>
      <c r="B8" s="78">
        <f>'Tables by type (55-76)'!B42+'Tables by type (55-76)'!C42</f>
        <v>98.147741860193733</v>
      </c>
      <c r="C8" s="78">
        <f>'Tables by type (55-76)'!B73+'Tables by type (55-76)'!C73</f>
        <v>0</v>
      </c>
      <c r="D8" s="78">
        <f>'Tables by type (55-76)'!B104+'Tables by type (55-76)'!C104</f>
        <v>89.020601987712453</v>
      </c>
      <c r="E8" s="78">
        <f>'Tables by type (55-76)'!B135+'Tables by type (55-76)'!C135</f>
        <v>90.441895838837993</v>
      </c>
      <c r="F8" s="78">
        <f>'Tables by type (55-76)'!B165+'Tables by type (55-76)'!C165</f>
        <v>91.122063541343266</v>
      </c>
      <c r="G8" s="78">
        <f>'Tables by type (55-76)'!B196+'Tables by type (55-76)'!C196</f>
        <v>90.261407468443608</v>
      </c>
      <c r="H8" s="163">
        <f>+'Tables by type (55-76)'!B10+'Tables by type (55-76)'!C10</f>
        <v>91.647165175417825</v>
      </c>
      <c r="I8" s="79">
        <f>'Tables by type (55-76)'!B258+'Tables by type (55-76)'!C258</f>
        <v>0</v>
      </c>
      <c r="J8" s="78">
        <f>'Tables by type (55-76)'!B289+'Tables by type (55-76)'!C289</f>
        <v>72.379951113096951</v>
      </c>
      <c r="K8" s="78">
        <f>'Tables by type (55-76)'!B320+'Tables by type (55-76)'!C320</f>
        <v>81.478330346153015</v>
      </c>
      <c r="L8" s="78">
        <f>'Tables by type (55-76)'!B350+'Tables by type (55-76)'!C350</f>
        <v>85.427394892776533</v>
      </c>
      <c r="M8" s="79">
        <f>+'Tables by type (55-76)'!B227+'Tables by type (55-76)'!C227</f>
        <v>82.345939315640692</v>
      </c>
      <c r="N8" s="98">
        <f>+'Tables by type (55-76)'!B411+'Tables by type (55-76)'!C411</f>
        <v>0</v>
      </c>
      <c r="O8" s="99">
        <f>+'Tables by type (55-76)'!B441+'Tables by type (55-76)'!C441</f>
        <v>0</v>
      </c>
      <c r="P8" s="146">
        <f>+'Tables by type (55-76)'!B381+'Tables by type (55-76)'!C381</f>
        <v>0</v>
      </c>
    </row>
    <row r="9" spans="1:33" ht="15.75" customHeight="1">
      <c r="A9" s="8" t="s">
        <v>222</v>
      </c>
      <c r="B9" s="78">
        <f>'Tables by type (55-76)'!B43+'Tables by type (55-76)'!C43</f>
        <v>95.238444055528717</v>
      </c>
      <c r="C9" s="78">
        <f>'Tables by type (55-76)'!B74+'Tables by type (55-76)'!C74</f>
        <v>0</v>
      </c>
      <c r="D9" s="78">
        <f>'Tables by type (55-76)'!B105+'Tables by type (55-76)'!C105</f>
        <v>0</v>
      </c>
      <c r="E9" s="78">
        <f>'Tables by type (55-76)'!B136+'Tables by type (55-76)'!C136</f>
        <v>99.456426079123645</v>
      </c>
      <c r="F9" s="78">
        <f>'Tables by type (55-76)'!B166+'Tables by type (55-76)'!C166</f>
        <v>0</v>
      </c>
      <c r="G9" s="78">
        <f>'Tables by type (55-76)'!B197+'Tables by type (55-76)'!C197</f>
        <v>0</v>
      </c>
      <c r="H9" s="163">
        <f>+'Tables by type (55-76)'!B11+'Tables by type (55-76)'!C11</f>
        <v>95.915511450229445</v>
      </c>
      <c r="I9" s="79">
        <f>'Tables by type (55-76)'!B259+'Tables by type (55-76)'!C259</f>
        <v>0</v>
      </c>
      <c r="J9" s="78">
        <f>'Tables by type (55-76)'!B290+'Tables by type (55-76)'!C290</f>
        <v>0</v>
      </c>
      <c r="K9" s="78">
        <f>'Tables by type (55-76)'!B321+'Tables by type (55-76)'!C321</f>
        <v>88.581654164828166</v>
      </c>
      <c r="L9" s="78">
        <f>'Tables by type (55-76)'!B351+'Tables by type (55-76)'!C351</f>
        <v>84.102603604991515</v>
      </c>
      <c r="M9" s="79">
        <f>+'Tables by type (55-76)'!B228+'Tables by type (55-76)'!C228</f>
        <v>87.57661341897213</v>
      </c>
      <c r="N9" s="98">
        <f>+'Tables by type (55-76)'!B412+'Tables by type (55-76)'!C412</f>
        <v>0</v>
      </c>
      <c r="O9" s="99">
        <f>+'Tables by type (55-76)'!B442+'Tables by type (55-76)'!C442</f>
        <v>0</v>
      </c>
      <c r="P9" s="146">
        <f>+'Tables by type (55-76)'!B382+'Tables by type (55-76)'!C382</f>
        <v>0</v>
      </c>
    </row>
    <row r="10" spans="1:33" ht="15.75" customHeight="1">
      <c r="A10" s="8" t="s">
        <v>223</v>
      </c>
      <c r="B10" s="78">
        <f>'Tables by type (55-76)'!B44+'Tables by type (55-76)'!C44</f>
        <v>83.600445961953866</v>
      </c>
      <c r="C10" s="78">
        <f>'Tables by type (55-76)'!B75+'Tables by type (55-76)'!C75</f>
        <v>86.704226293968176</v>
      </c>
      <c r="D10" s="78">
        <f>'Tables by type (55-76)'!B106+'Tables by type (55-76)'!C106</f>
        <v>89.903285797036204</v>
      </c>
      <c r="E10" s="78">
        <f>'Tables by type (55-76)'!B137+'Tables by type (55-76)'!C137</f>
        <v>83.180159481010946</v>
      </c>
      <c r="F10" s="78">
        <f>'Tables by type (55-76)'!B167+'Tables by type (55-76)'!C167</f>
        <v>0</v>
      </c>
      <c r="G10" s="78">
        <f>'Tables by type (55-76)'!B198+'Tables by type (55-76)'!C198</f>
        <v>100</v>
      </c>
      <c r="H10" s="163">
        <f>+'Tables by type (55-76)'!B12+'Tables by type (55-76)'!C12</f>
        <v>85.130868757282926</v>
      </c>
      <c r="I10" s="79">
        <f>'Tables by type (55-76)'!B260+'Tables by type (55-76)'!C260</f>
        <v>85.279987277139099</v>
      </c>
      <c r="J10" s="78">
        <f>'Tables by type (55-76)'!B291+'Tables by type (55-76)'!C291</f>
        <v>83.701234681437995</v>
      </c>
      <c r="K10" s="78">
        <f>'Tables by type (55-76)'!B322+'Tables by type (55-76)'!C322</f>
        <v>82.076441546317469</v>
      </c>
      <c r="L10" s="78">
        <f>'Tables by type (55-76)'!B352+'Tables by type (55-76)'!C352</f>
        <v>73.923517012947912</v>
      </c>
      <c r="M10" s="79">
        <f>+'Tables by type (55-76)'!B229+'Tables by type (55-76)'!C229</f>
        <v>83.901025439076321</v>
      </c>
      <c r="N10" s="98">
        <f>+'Tables by type (55-76)'!B413+'Tables by type (55-76)'!C413</f>
        <v>0</v>
      </c>
      <c r="O10" s="99">
        <f>+'Tables by type (55-76)'!B443+'Tables by type (55-76)'!C443</f>
        <v>0</v>
      </c>
      <c r="P10" s="146">
        <f>+'Tables by type (55-76)'!B383+'Tables by type (55-76)'!C383</f>
        <v>0</v>
      </c>
    </row>
    <row r="11" spans="1:33" ht="15.75" customHeight="1">
      <c r="A11" s="8"/>
      <c r="B11" s="78"/>
      <c r="C11" s="78"/>
      <c r="D11" s="78"/>
      <c r="E11" s="78"/>
      <c r="F11" s="78"/>
      <c r="G11" s="78"/>
      <c r="H11" s="163"/>
      <c r="I11" s="79"/>
      <c r="J11" s="78"/>
      <c r="K11" s="78"/>
      <c r="L11" s="78"/>
      <c r="M11" s="79"/>
      <c r="N11" s="98"/>
      <c r="O11" s="99"/>
      <c r="P11" s="146"/>
    </row>
    <row r="12" spans="1:33" ht="15.75" customHeight="1">
      <c r="A12" s="8" t="s">
        <v>224</v>
      </c>
      <c r="B12" s="78">
        <f>'Tables by type (55-76)'!B46+'Tables by type (55-76)'!C46</f>
        <v>99.466544360208871</v>
      </c>
      <c r="C12" s="78">
        <f>'Tables by type (55-76)'!B77+'Tables by type (55-76)'!C77</f>
        <v>98.653094369283778</v>
      </c>
      <c r="D12" s="78">
        <f>'Tables by type (55-76)'!B108+'Tables by type (55-76)'!C108</f>
        <v>95.050717518665536</v>
      </c>
      <c r="E12" s="78">
        <f>'Tables by type (55-76)'!B139+'Tables by type (55-76)'!C139</f>
        <v>98.103304903070025</v>
      </c>
      <c r="F12" s="78">
        <f>'Tables by type (55-76)'!B169+'Tables by type (55-76)'!C169</f>
        <v>94.252317933275222</v>
      </c>
      <c r="G12" s="78">
        <f>'Tables by type (55-76)'!B200+'Tables by type (55-76)'!C200</f>
        <v>92.078211386119449</v>
      </c>
      <c r="H12" s="163">
        <f>+'Tables by type (55-76)'!B14+'Tables by type (55-76)'!C14</f>
        <v>97.098909791028262</v>
      </c>
      <c r="I12" s="79">
        <f>'Tables by type (55-76)'!B262+'Tables by type (55-76)'!C262</f>
        <v>99.539546261211569</v>
      </c>
      <c r="J12" s="78">
        <f>'Tables by type (55-76)'!B293+'Tables by type (55-76)'!C293</f>
        <v>82.464826529812257</v>
      </c>
      <c r="K12" s="78">
        <f>'Tables by type (55-76)'!B324+'Tables by type (55-76)'!C324</f>
        <v>91.617264257633011</v>
      </c>
      <c r="L12" s="78">
        <f>'Tables by type (55-76)'!B354+'Tables by type (55-76)'!C354</f>
        <v>93.852070262054141</v>
      </c>
      <c r="M12" s="79">
        <f>+'Tables by type (55-76)'!B231+'Tables by type (55-76)'!C231</f>
        <v>89.49162899120671</v>
      </c>
      <c r="N12" s="98">
        <f>+'Tables by type (55-76)'!B415+'Tables by type (55-76)'!C415</f>
        <v>73.586520137799184</v>
      </c>
      <c r="O12" s="99">
        <f>+'Tables by type (55-76)'!B445+'Tables by type (55-76)'!C445</f>
        <v>80.465598857365549</v>
      </c>
      <c r="P12" s="146">
        <f>+'Tables by type (55-76)'!B385+'Tables by type (55-76)'!C385</f>
        <v>73.997066940633246</v>
      </c>
    </row>
    <row r="13" spans="1:33" ht="15.75" customHeight="1">
      <c r="A13" s="8" t="s">
        <v>225</v>
      </c>
      <c r="B13" s="78">
        <f>'Tables by type (55-76)'!B47+'Tables by type (55-76)'!C47</f>
        <v>96.537420061070463</v>
      </c>
      <c r="C13" s="78">
        <f>'Tables by type (55-76)'!B78+'Tables by type (55-76)'!C78</f>
        <v>0</v>
      </c>
      <c r="D13" s="78">
        <f>'Tables by type (55-76)'!B109+'Tables by type (55-76)'!C109</f>
        <v>90.471639161012874</v>
      </c>
      <c r="E13" s="78">
        <f>'Tables by type (55-76)'!B140+'Tables by type (55-76)'!C140</f>
        <v>90.707632387790056</v>
      </c>
      <c r="F13" s="78">
        <f>'Tables by type (55-76)'!B170+'Tables by type (55-76)'!C170</f>
        <v>89.264684647103181</v>
      </c>
      <c r="G13" s="78">
        <f>'Tables by type (55-76)'!B201+'Tables by type (55-76)'!C201</f>
        <v>0</v>
      </c>
      <c r="H13" s="163">
        <f>+'Tables by type (55-76)'!B15+'Tables by type (55-76)'!C15</f>
        <v>92.673636443778193</v>
      </c>
      <c r="I13" s="79">
        <f>'Tables by type (55-76)'!B263+'Tables by type (55-76)'!C263</f>
        <v>0</v>
      </c>
      <c r="J13" s="78">
        <f>'Tables by type (55-76)'!B294+'Tables by type (55-76)'!C294</f>
        <v>82.054797405441832</v>
      </c>
      <c r="K13" s="78">
        <f>'Tables by type (55-76)'!B325+'Tables by type (55-76)'!C325</f>
        <v>78.728051029839932</v>
      </c>
      <c r="L13" s="78">
        <f>'Tables by type (55-76)'!B355+'Tables by type (55-76)'!C355</f>
        <v>76.132659932659934</v>
      </c>
      <c r="M13" s="79">
        <f>+'Tables by type (55-76)'!B232+'Tables by type (55-76)'!C232</f>
        <v>79.616002593391471</v>
      </c>
      <c r="N13" s="98">
        <f>+'Tables by type (55-76)'!B416+'Tables by type (55-76)'!C416</f>
        <v>96.660634411172197</v>
      </c>
      <c r="O13" s="99">
        <f>+'Tables by type (55-76)'!B446+'Tables by type (55-76)'!C446</f>
        <v>0</v>
      </c>
      <c r="P13" s="146">
        <f>+'Tables by type (55-76)'!B386+'Tables by type (55-76)'!C386</f>
        <v>96.660634411172197</v>
      </c>
    </row>
    <row r="14" spans="1:33" ht="15.75" customHeight="1">
      <c r="A14" s="8" t="s">
        <v>226</v>
      </c>
      <c r="B14" s="78">
        <f>'Tables by type (55-76)'!B48+'Tables by type (55-76)'!C48</f>
        <v>94.855112343496998</v>
      </c>
      <c r="C14" s="78">
        <f>'Tables by type (55-76)'!B79+'Tables by type (55-76)'!C79</f>
        <v>98.539933893333526</v>
      </c>
      <c r="D14" s="78">
        <f>'Tables by type (55-76)'!B110+'Tables by type (55-76)'!C110</f>
        <v>95.741837520776201</v>
      </c>
      <c r="E14" s="78">
        <f>'Tables by type (55-76)'!B141+'Tables by type (55-76)'!C141</f>
        <v>91.245384927925372</v>
      </c>
      <c r="F14" s="78">
        <f>'Tables by type (55-76)'!B171+'Tables by type (55-76)'!C171</f>
        <v>100</v>
      </c>
      <c r="G14" s="78">
        <f>'Tables by type (55-76)'!B202+'Tables by type (55-76)'!C202</f>
        <v>0</v>
      </c>
      <c r="H14" s="163">
        <f>+'Tables by type (55-76)'!B16+'Tables by type (55-76)'!C16</f>
        <v>95.138973242397228</v>
      </c>
      <c r="I14" s="79">
        <f>'Tables by type (55-76)'!B264+'Tables by type (55-76)'!C264</f>
        <v>98.511965290488774</v>
      </c>
      <c r="J14" s="78">
        <f>'Tables by type (55-76)'!B295+'Tables by type (55-76)'!C295</f>
        <v>94.210205695177123</v>
      </c>
      <c r="K14" s="78">
        <f>'Tables by type (55-76)'!B326+'Tables by type (55-76)'!C326</f>
        <v>92.447198332181586</v>
      </c>
      <c r="L14" s="78">
        <f>'Tables by type (55-76)'!B356+'Tables by type (55-76)'!C356</f>
        <v>98.232508896273856</v>
      </c>
      <c r="M14" s="79">
        <f>+'Tables by type (55-76)'!B233+'Tables by type (55-76)'!C233</f>
        <v>94.720294835574151</v>
      </c>
      <c r="N14" s="98">
        <f>+'Tables by type (55-76)'!B417+'Tables by type (55-76)'!C417</f>
        <v>100</v>
      </c>
      <c r="O14" s="99">
        <f>+'Tables by type (55-76)'!B447+'Tables by type (55-76)'!C447</f>
        <v>100</v>
      </c>
      <c r="P14" s="146">
        <f>+'Tables by type (55-76)'!B387+'Tables by type (55-76)'!C387</f>
        <v>100</v>
      </c>
    </row>
    <row r="15" spans="1:33" ht="15.75" customHeight="1">
      <c r="A15" s="8" t="s">
        <v>117</v>
      </c>
      <c r="B15" s="78">
        <f>'Tables by type (55-76)'!B49+'Tables by type (55-76)'!C49</f>
        <v>99.431898768621977</v>
      </c>
      <c r="C15" s="78">
        <f>'Tables by type (55-76)'!B80+'Tables by type (55-76)'!C80</f>
        <v>99.628286671025776</v>
      </c>
      <c r="D15" s="78">
        <f>'Tables by type (55-76)'!B111+'Tables by type (55-76)'!C111</f>
        <v>98.043271842042543</v>
      </c>
      <c r="E15" s="78">
        <f>'Tables by type (55-76)'!B142+'Tables by type (55-76)'!C142</f>
        <v>94.158118003463443</v>
      </c>
      <c r="F15" s="78">
        <f>'Tables by type (55-76)'!B172+'Tables by type (55-76)'!C172</f>
        <v>0</v>
      </c>
      <c r="G15" s="78">
        <f>'Tables by type (55-76)'!B203+'Tables by type (55-76)'!C203</f>
        <v>100</v>
      </c>
      <c r="H15" s="163">
        <f>+'Tables by type (55-76)'!B17+'Tables by type (55-76)'!C17</f>
        <v>87.369373141648097</v>
      </c>
      <c r="I15" s="79">
        <f>'Tables by type (55-76)'!B265+'Tables by type (55-76)'!C265</f>
        <v>0</v>
      </c>
      <c r="J15" s="78">
        <f>'Tables by type (55-76)'!B296+'Tables by type (55-76)'!C296</f>
        <v>90.128955795166945</v>
      </c>
      <c r="K15" s="78">
        <f>'Tables by type (55-76)'!B327+'Tables by type (55-76)'!C327</f>
        <v>86.628251368244818</v>
      </c>
      <c r="L15" s="78">
        <f>'Tables by type (55-76)'!B357+'Tables by type (55-76)'!C357</f>
        <v>88.803765803384252</v>
      </c>
      <c r="M15" s="79">
        <f>+'Tables by type (55-76)'!B234+'Tables by type (55-76)'!C234</f>
        <v>88.799795376109429</v>
      </c>
      <c r="N15" s="98">
        <f>+'Tables by type (55-76)'!B418+'Tables by type (55-76)'!C418</f>
        <v>0</v>
      </c>
      <c r="O15" s="99">
        <f>+'Tables by type (55-76)'!B448+'Tables by type (55-76)'!C448</f>
        <v>0</v>
      </c>
      <c r="P15" s="146">
        <f>+'Tables by type (55-76)'!B388+'Tables by type (55-76)'!C388</f>
        <v>0</v>
      </c>
    </row>
    <row r="16" spans="1:33" ht="15.75" customHeight="1">
      <c r="A16" s="8"/>
      <c r="B16" s="78"/>
      <c r="C16" s="78"/>
      <c r="D16" s="78"/>
      <c r="E16" s="78"/>
      <c r="F16" s="78"/>
      <c r="G16" s="78"/>
      <c r="H16" s="163"/>
      <c r="I16" s="79"/>
      <c r="J16" s="78"/>
      <c r="K16" s="78"/>
      <c r="L16" s="78"/>
      <c r="M16" s="79"/>
      <c r="N16" s="98"/>
      <c r="O16" s="99"/>
      <c r="P16" s="146"/>
    </row>
    <row r="17" spans="1:40" ht="15.75" customHeight="1">
      <c r="A17" s="8" t="s">
        <v>204</v>
      </c>
      <c r="B17" s="78">
        <f>'Tables by type (55-76)'!B51+'Tables by type (55-76)'!C51</f>
        <v>93.592025222818307</v>
      </c>
      <c r="C17" s="78">
        <f>'Tables by type (55-76)'!B82+'Tables by type (55-76)'!C82</f>
        <v>96.068946735961276</v>
      </c>
      <c r="D17" s="78">
        <f>'Tables by type (55-76)'!B113+'Tables by type (55-76)'!C113</f>
        <v>0</v>
      </c>
      <c r="E17" s="78">
        <f>'Tables by type (55-76)'!B144+'Tables by type (55-76)'!C144</f>
        <v>93.878828470739947</v>
      </c>
      <c r="F17" s="78">
        <f>'Tables by type (55-76)'!B174+'Tables by type (55-76)'!C174</f>
        <v>90.506670902160096</v>
      </c>
      <c r="G17" s="78">
        <f>'Tables by type (55-76)'!B205+'Tables by type (55-76)'!C205</f>
        <v>0</v>
      </c>
      <c r="H17" s="163">
        <f>+'Tables by type (55-76)'!B19+'Tables by type (55-76)'!C19</f>
        <v>94.227700164501954</v>
      </c>
      <c r="I17" s="79">
        <f>'Tables by type (55-76)'!B267+'Tables by type (55-76)'!C267</f>
        <v>0</v>
      </c>
      <c r="J17" s="78">
        <f>'Tables by type (55-76)'!B298+'Tables by type (55-76)'!C298</f>
        <v>86.937046685533289</v>
      </c>
      <c r="K17" s="78">
        <f>'Tables by type (55-76)'!B329+'Tables by type (55-76)'!C329</f>
        <v>84.486431913514195</v>
      </c>
      <c r="L17" s="78">
        <f>'Tables by type (55-76)'!B359+'Tables by type (55-76)'!C359</f>
        <v>91.642907672190191</v>
      </c>
      <c r="M17" s="79">
        <f>+'Tables by type (55-76)'!B236+'Tables by type (55-76)'!C236</f>
        <v>85.758953207225147</v>
      </c>
      <c r="N17" s="98">
        <f>+'Tables by type (55-76)'!B420+'Tables by type (55-76)'!C420</f>
        <v>0</v>
      </c>
      <c r="O17" s="99">
        <f>+'Tables by type (55-76)'!B450+'Tables by type (55-76)'!C450</f>
        <v>0</v>
      </c>
      <c r="P17" s="146">
        <f>+'Tables by type (55-76)'!B390+'Tables by type (55-76)'!C390</f>
        <v>0</v>
      </c>
    </row>
    <row r="18" spans="1:40" ht="15.75" customHeight="1">
      <c r="A18" s="8" t="s">
        <v>212</v>
      </c>
      <c r="B18" s="78">
        <f>'Tables by type (55-76)'!B52+'Tables by type (55-76)'!C52</f>
        <v>95.17512934927494</v>
      </c>
      <c r="C18" s="78">
        <f>'Tables by type (55-76)'!B83+'Tables by type (55-76)'!C83</f>
        <v>94.969170733677089</v>
      </c>
      <c r="D18" s="78">
        <f>'Tables by type (55-76)'!B114+'Tables by type (55-76)'!C114</f>
        <v>93.237481302195647</v>
      </c>
      <c r="E18" s="78">
        <f>'Tables by type (55-76)'!B145+'Tables by type (55-76)'!C145</f>
        <v>90.020906755868822</v>
      </c>
      <c r="F18" s="78">
        <f>'Tables by type (55-76)'!B175+'Tables by type (55-76)'!C175</f>
        <v>88.802605449201693</v>
      </c>
      <c r="G18" s="78">
        <f>'Tables by type (55-76)'!B206+'Tables by type (55-76)'!C206</f>
        <v>98.182736546211203</v>
      </c>
      <c r="H18" s="163">
        <f>+'Tables by type (55-76)'!B20+'Tables by type (55-76)'!C20</f>
        <v>93.835352758702967</v>
      </c>
      <c r="I18" s="79">
        <f>'Tables by type (55-76)'!B268+'Tables by type (55-76)'!C268</f>
        <v>0</v>
      </c>
      <c r="J18" s="78">
        <f>'Tables by type (55-76)'!B299+'Tables by type (55-76)'!C299</f>
        <v>83.083474037677178</v>
      </c>
      <c r="K18" s="78">
        <f>'Tables by type (55-76)'!B330+'Tables by type (55-76)'!C330</f>
        <v>80.891185365220124</v>
      </c>
      <c r="L18" s="78">
        <f>'Tables by type (55-76)'!B360+'Tables by type (55-76)'!C360</f>
        <v>82.868229194793969</v>
      </c>
      <c r="M18" s="79">
        <f>+'Tables by type (55-76)'!B237+'Tables by type (55-76)'!C237</f>
        <v>82.046479414163485</v>
      </c>
      <c r="N18" s="98">
        <f>+'Tables by type (55-76)'!B421+'Tables by type (55-76)'!C421</f>
        <v>0</v>
      </c>
      <c r="O18" s="99">
        <f>+'Tables by type (55-76)'!B451+'Tables by type (55-76)'!C451</f>
        <v>0</v>
      </c>
      <c r="P18" s="146">
        <f>+'Tables by type (55-76)'!B391+'Tables by type (55-76)'!C391</f>
        <v>0</v>
      </c>
    </row>
    <row r="19" spans="1:40" ht="15.75" customHeight="1">
      <c r="A19" s="8" t="s">
        <v>205</v>
      </c>
      <c r="B19" s="78">
        <f>'Tables by type (55-76)'!B53+'Tables by type (55-76)'!C53</f>
        <v>94.691133320309547</v>
      </c>
      <c r="C19" s="78">
        <f>'Tables by type (55-76)'!B84+'Tables by type (55-76)'!C84</f>
        <v>0</v>
      </c>
      <c r="D19" s="78">
        <f>'Tables by type (55-76)'!B115+'Tables by type (55-76)'!C115</f>
        <v>93.929189860786366</v>
      </c>
      <c r="E19" s="78">
        <f>'Tables by type (55-76)'!B146+'Tables by type (55-76)'!C146</f>
        <v>0</v>
      </c>
      <c r="F19" s="78">
        <f>'Tables by type (55-76)'!B176+'Tables by type (55-76)'!C176</f>
        <v>86.017846740454374</v>
      </c>
      <c r="G19" s="78">
        <f>'Tables by type (55-76)'!B207+'Tables by type (55-76)'!C207</f>
        <v>80.131535723144779</v>
      </c>
      <c r="H19" s="163">
        <f>+'Tables by type (55-76)'!B21+'Tables by type (55-76)'!C21</f>
        <v>91.476111303046011</v>
      </c>
      <c r="I19" s="79">
        <f>'Tables by type (55-76)'!B269+'Tables by type (55-76)'!C269</f>
        <v>99.999999999999986</v>
      </c>
      <c r="J19" s="78">
        <f>'Tables by type (55-76)'!B300+'Tables by type (55-76)'!C300</f>
        <v>79.778985876296318</v>
      </c>
      <c r="K19" s="78">
        <f>'Tables by type (55-76)'!B331+'Tables by type (55-76)'!C331</f>
        <v>80.626391461142447</v>
      </c>
      <c r="L19" s="78">
        <f>'Tables by type (55-76)'!B361+'Tables by type (55-76)'!C361</f>
        <v>78.802907694417769</v>
      </c>
      <c r="M19" s="79">
        <f>+'Tables by type (55-76)'!B238+'Tables by type (55-76)'!C238</f>
        <v>81.022846806814471</v>
      </c>
      <c r="N19" s="98">
        <f>+'Tables by type (55-76)'!B422+'Tables by type (55-76)'!C422</f>
        <v>0</v>
      </c>
      <c r="O19" s="99">
        <f>+'Tables by type (55-76)'!B452+'Tables by type (55-76)'!C452</f>
        <v>0</v>
      </c>
      <c r="P19" s="146">
        <f>+'Tables by type (55-76)'!B392+'Tables by type (55-76)'!C392</f>
        <v>0</v>
      </c>
    </row>
    <row r="20" spans="1:40" ht="15.75" customHeight="1">
      <c r="A20" s="8" t="s">
        <v>228</v>
      </c>
      <c r="B20" s="78">
        <f>'Tables by type (55-76)'!B54+'Tables by type (55-76)'!C54</f>
        <v>97.255085927616861</v>
      </c>
      <c r="C20" s="78">
        <f>'Tables by type (55-76)'!B85+'Tables by type (55-76)'!C85</f>
        <v>0</v>
      </c>
      <c r="D20" s="78">
        <f>'Tables by type (55-76)'!B116+'Tables by type (55-76)'!C116</f>
        <v>100</v>
      </c>
      <c r="E20" s="78">
        <f>'Tables by type (55-76)'!B147+'Tables by type (55-76)'!C147</f>
        <v>99.874980082611202</v>
      </c>
      <c r="F20" s="78">
        <f>'Tables by type (55-76)'!B177+'Tables by type (55-76)'!C177</f>
        <v>98.298363593154477</v>
      </c>
      <c r="G20" s="78">
        <f>'Tables by type (55-76)'!B208+'Tables by type (55-76)'!C208</f>
        <v>99.703971449487568</v>
      </c>
      <c r="H20" s="163">
        <f>+'Tables by type (55-76)'!B22+'Tables by type (55-76)'!C22</f>
        <v>98.343576412033954</v>
      </c>
      <c r="I20" s="79">
        <f>'Tables by type (55-76)'!B270+'Tables by type (55-76)'!C270</f>
        <v>96.715379652744659</v>
      </c>
      <c r="J20" s="78">
        <f>'Tables by type (55-76)'!B301+'Tables by type (55-76)'!C301</f>
        <v>84.142943923300365</v>
      </c>
      <c r="K20" s="78">
        <f>'Tables by type (55-76)'!B332+'Tables by type (55-76)'!C332</f>
        <v>83.407043651367644</v>
      </c>
      <c r="L20" s="78">
        <f>'Tables by type (55-76)'!B362+'Tables by type (55-76)'!C362</f>
        <v>91.681867353942508</v>
      </c>
      <c r="M20" s="79">
        <f>+'Tables by type (55-76)'!B239+'Tables by type (55-76)'!C239</f>
        <v>84.781562407384527</v>
      </c>
      <c r="N20" s="98">
        <f>+'Tables by type (55-76)'!B423+'Tables by type (55-76)'!C423</f>
        <v>0</v>
      </c>
      <c r="O20" s="99">
        <f>+'Tables by type (55-76)'!B453+'Tables by type (55-76)'!C453</f>
        <v>0</v>
      </c>
      <c r="P20" s="146">
        <f>+'Tables by type (55-76)'!B393+'Tables by type (55-76)'!C393</f>
        <v>0</v>
      </c>
    </row>
    <row r="21" spans="1:40" ht="15.75" customHeight="1">
      <c r="A21" s="8"/>
      <c r="B21" s="78"/>
      <c r="C21" s="78"/>
      <c r="D21" s="78"/>
      <c r="E21" s="78"/>
      <c r="F21" s="78"/>
      <c r="G21" s="78"/>
      <c r="H21" s="163"/>
      <c r="I21" s="79"/>
      <c r="J21" s="78"/>
      <c r="K21" s="78"/>
      <c r="L21" s="78"/>
      <c r="M21" s="79"/>
      <c r="N21" s="98"/>
      <c r="O21" s="99"/>
      <c r="P21" s="146"/>
    </row>
    <row r="22" spans="1:40" ht="15.75" customHeight="1">
      <c r="A22" s="8" t="s">
        <v>229</v>
      </c>
      <c r="B22" s="78">
        <f>'Tables by type (55-76)'!B56+'Tables by type (55-76)'!C56</f>
        <v>86.472700339736264</v>
      </c>
      <c r="C22" s="78">
        <f>'Tables by type (55-76)'!B87+'Tables by type (55-76)'!C87</f>
        <v>89.903710668139723</v>
      </c>
      <c r="D22" s="78">
        <f>'Tables by type (55-76)'!B118+'Tables by type (55-76)'!C118</f>
        <v>89.810607010329946</v>
      </c>
      <c r="E22" s="78">
        <f>'Tables by type (55-76)'!B149+'Tables by type (55-76)'!C149</f>
        <v>80.391334509165603</v>
      </c>
      <c r="F22" s="78">
        <f>'Tables by type (55-76)'!B179+'Tables by type (55-76)'!C179</f>
        <v>95.698132825022753</v>
      </c>
      <c r="G22" s="78">
        <f>'Tables by type (55-76)'!B210+'Tables by type (55-76)'!C210</f>
        <v>0</v>
      </c>
      <c r="H22" s="163">
        <f>+'Tables by type (55-76)'!B24+'Tables by type (55-76)'!C24</f>
        <v>88.065313615404634</v>
      </c>
      <c r="I22" s="79">
        <f>'Tables by type (55-76)'!B272+'Tables by type (55-76)'!C272</f>
        <v>0</v>
      </c>
      <c r="J22" s="78">
        <f>'Tables by type (55-76)'!B303+'Tables by type (55-76)'!C303</f>
        <v>85.537525600785287</v>
      </c>
      <c r="K22" s="78">
        <f>'Tables by type (55-76)'!B334+'Tables by type (55-76)'!C334</f>
        <v>79.037771487364282</v>
      </c>
      <c r="L22" s="78">
        <f>'Tables by type (55-76)'!B364+'Tables by type (55-76)'!C364</f>
        <v>77.58527026502658</v>
      </c>
      <c r="M22" s="79">
        <f>+'Tables by type (55-76)'!B241+'Tables by type (55-76)'!C241</f>
        <v>81.32894051891833</v>
      </c>
      <c r="N22" s="98">
        <f>+'Tables by type (55-76)'!B425+'Tables by type (55-76)'!C425</f>
        <v>0</v>
      </c>
      <c r="O22" s="99">
        <f>+'Tables by type (55-76)'!B455+'Tables by type (55-76)'!C455</f>
        <v>100</v>
      </c>
      <c r="P22" s="146">
        <f>+'Tables by type (55-76)'!B395+'Tables by type (55-76)'!C395</f>
        <v>100</v>
      </c>
    </row>
    <row r="23" spans="1:40" ht="15.75" customHeight="1">
      <c r="A23" s="8" t="s">
        <v>213</v>
      </c>
      <c r="B23" s="78">
        <f>'Tables by type (55-76)'!B57+'Tables by type (55-76)'!C57</f>
        <v>95.041090851930122</v>
      </c>
      <c r="C23" s="78">
        <f>'Tables by type (55-76)'!B88+'Tables by type (55-76)'!C88</f>
        <v>92.316542225978935</v>
      </c>
      <c r="D23" s="78">
        <f>'Tables by type (55-76)'!B119+'Tables by type (55-76)'!C119</f>
        <v>95.658018868476233</v>
      </c>
      <c r="E23" s="78">
        <f>'Tables by type (55-76)'!B150+'Tables by type (55-76)'!C150</f>
        <v>89.348839147434873</v>
      </c>
      <c r="F23" s="78">
        <f>'Tables by type (55-76)'!B180+'Tables by type (55-76)'!C180</f>
        <v>82.281962152599519</v>
      </c>
      <c r="G23" s="78">
        <f>'Tables by type (55-76)'!B211+'Tables by type (55-76)'!C211</f>
        <v>100</v>
      </c>
      <c r="H23" s="163">
        <f>+'Tables by type (55-76)'!B25+'Tables by type (55-76)'!C25</f>
        <v>94.62593543848152</v>
      </c>
      <c r="I23" s="79">
        <f>'Tables by type (55-76)'!B273+'Tables by type (55-76)'!C273</f>
        <v>0</v>
      </c>
      <c r="J23" s="78">
        <f>'Tables by type (55-76)'!B304+'Tables by type (55-76)'!C304</f>
        <v>85.158428544818008</v>
      </c>
      <c r="K23" s="78">
        <f>'Tables by type (55-76)'!B335+'Tables by type (55-76)'!C335</f>
        <v>84.529109880025828</v>
      </c>
      <c r="L23" s="78">
        <f>'Tables by type (55-76)'!B365+'Tables by type (55-76)'!C365</f>
        <v>79.361604826916789</v>
      </c>
      <c r="M23" s="79">
        <f>+'Tables by type (55-76)'!B242+'Tables by type (55-76)'!C242</f>
        <v>84.743372642378731</v>
      </c>
      <c r="N23" s="98">
        <f>+'Tables by type (55-76)'!B426+'Tables by type (55-76)'!C426</f>
        <v>0</v>
      </c>
      <c r="O23" s="99">
        <f>+'Tables by type (55-76)'!B456+'Tables by type (55-76)'!C456</f>
        <v>0</v>
      </c>
      <c r="P23" s="146">
        <f>+'Tables by type (55-76)'!B396+'Tables by type (55-76)'!C396</f>
        <v>0</v>
      </c>
    </row>
    <row r="24" spans="1:40" ht="15.75" customHeight="1">
      <c r="A24" s="8" t="s">
        <v>230</v>
      </c>
      <c r="B24" s="78">
        <f>'Tables by type (55-76)'!B58+'Tables by type (55-76)'!C58</f>
        <v>0</v>
      </c>
      <c r="C24" s="78">
        <f>'Tables by type (55-76)'!B89+'Tables by type (55-76)'!C89</f>
        <v>0</v>
      </c>
      <c r="D24" s="78">
        <f>'Tables by type (55-76)'!B120+'Tables by type (55-76)'!C120</f>
        <v>0</v>
      </c>
      <c r="E24" s="78">
        <f>'Tables by type (55-76)'!B151+'Tables by type (55-76)'!C151</f>
        <v>0</v>
      </c>
      <c r="F24" s="78">
        <f>'Tables by type (55-76)'!B181+'Tables by type (55-76)'!C181</f>
        <v>0</v>
      </c>
      <c r="G24" s="78">
        <f>'Tables by type (55-76)'!B212+'Tables by type (55-76)'!C212</f>
        <v>0</v>
      </c>
      <c r="H24" s="163">
        <f>+'Tables by type (55-76)'!B26+'Tables by type (55-76)'!C26</f>
        <v>0</v>
      </c>
      <c r="I24" s="79">
        <f>'Tables by type (55-76)'!B274+'Tables by type (55-76)'!C274</f>
        <v>0</v>
      </c>
      <c r="J24" s="78">
        <f>'Tables by type (55-76)'!B305+'Tables by type (55-76)'!C305</f>
        <v>0</v>
      </c>
      <c r="K24" s="78">
        <f>'Tables by type (55-76)'!B336+'Tables by type (55-76)'!C336</f>
        <v>0</v>
      </c>
      <c r="L24" s="78">
        <f>'Tables by type (55-76)'!B366+'Tables by type (55-76)'!C366</f>
        <v>0</v>
      </c>
      <c r="M24" s="79">
        <f>+'Tables by type (55-76)'!B243+'Tables by type (55-76)'!C243</f>
        <v>0</v>
      </c>
      <c r="N24" s="98">
        <f>+'Tables by type (55-76)'!B427+'Tables by type (55-76)'!C427</f>
        <v>0</v>
      </c>
      <c r="O24" s="99">
        <f>+'Tables by type (55-76)'!B457+'Tables by type (55-76)'!C457</f>
        <v>0</v>
      </c>
      <c r="P24" s="146">
        <f>+'Tables by type (55-76)'!B397+'Tables by type (55-76)'!C397</f>
        <v>0</v>
      </c>
    </row>
    <row r="25" spans="1:40" ht="15.75" customHeight="1">
      <c r="A25" s="9" t="s">
        <v>206</v>
      </c>
      <c r="B25" s="80">
        <f>'Tables by type (55-76)'!B59+'Tables by type (55-76)'!C59</f>
        <v>95.040281696782955</v>
      </c>
      <c r="C25" s="80">
        <f>'Tables by type (55-76)'!B90+'Tables by type (55-76)'!C90</f>
        <v>0</v>
      </c>
      <c r="D25" s="80">
        <f>'Tables by type (55-76)'!B121+'Tables by type (55-76)'!C121</f>
        <v>88.166186389689358</v>
      </c>
      <c r="E25" s="80">
        <f>'Tables by type (55-76)'!B152+'Tables by type (55-76)'!C152</f>
        <v>0</v>
      </c>
      <c r="F25" s="80">
        <f>'Tables by type (55-76)'!B182+'Tables by type (55-76)'!C182</f>
        <v>0</v>
      </c>
      <c r="G25" s="80">
        <f>'Tables by type (55-76)'!B213+'Tables by type (55-76)'!C213</f>
        <v>93.766165007387158</v>
      </c>
      <c r="H25" s="164">
        <f>+'Tables by type (55-76)'!B27+'Tables by type (55-76)'!C27</f>
        <v>93.348850540972677</v>
      </c>
      <c r="I25" s="81">
        <f>'Tables by type (55-76)'!B275+'Tables by type (55-76)'!C275</f>
        <v>79.289287029666497</v>
      </c>
      <c r="J25" s="80">
        <f>'Tables by type (55-76)'!B306+'Tables by type (55-76)'!C306</f>
        <v>0</v>
      </c>
      <c r="K25" s="80">
        <f>'Tables by type (55-76)'!B337+'Tables by type (55-76)'!C337</f>
        <v>90.511416174692357</v>
      </c>
      <c r="L25" s="80">
        <f>'Tables by type (55-76)'!B367+'Tables by type (55-76)'!C367</f>
        <v>85.195984128892633</v>
      </c>
      <c r="M25" s="81">
        <f>+'Tables by type (55-76)'!B244+'Tables by type (55-76)'!C244</f>
        <v>84.054516246048607</v>
      </c>
      <c r="N25" s="130">
        <f>+'Tables by type (55-76)'!B428+'Tables by type (55-76)'!C428</f>
        <v>0</v>
      </c>
      <c r="O25" s="131">
        <f>+'Tables by type (55-76)'!B458+'Tables by type (55-76)'!C458</f>
        <v>0</v>
      </c>
      <c r="P25" s="147">
        <f>+'Tables by type (55-76)'!B398+'Tables by type (55-76)'!C398</f>
        <v>0</v>
      </c>
      <c r="R25" s="108"/>
      <c r="S25" s="108"/>
      <c r="T25" s="108"/>
      <c r="U25" s="109"/>
      <c r="V25" s="109"/>
      <c r="W25" s="109"/>
    </row>
    <row r="26" spans="1:40" s="41" customFormat="1" ht="13.5" customHeight="1">
      <c r="A26" s="85" t="s">
        <v>118</v>
      </c>
      <c r="H26" s="45"/>
      <c r="J26" s="53"/>
      <c r="M26" s="53"/>
      <c r="P26" s="45"/>
    </row>
    <row r="27" spans="1:40" s="41" customFormat="1" ht="11.25">
      <c r="A27" s="43"/>
      <c r="H27" s="45"/>
      <c r="J27" s="53"/>
      <c r="M27" s="53"/>
      <c r="P27" s="45"/>
    </row>
    <row r="28" spans="1:40" s="41" customFormat="1" ht="11.25">
      <c r="H28" s="45"/>
      <c r="M28" s="88"/>
      <c r="P28" s="572" t="s">
        <v>889</v>
      </c>
    </row>
    <row r="29" spans="1:40" ht="18">
      <c r="A29" s="593" t="s">
        <v>231</v>
      </c>
      <c r="B29" s="593"/>
      <c r="C29" s="593"/>
      <c r="D29" s="593"/>
      <c r="E29" s="593"/>
      <c r="F29" s="593"/>
      <c r="G29" s="593"/>
      <c r="H29" s="593"/>
      <c r="I29" s="593"/>
      <c r="J29" s="593"/>
      <c r="K29" s="593"/>
      <c r="L29" s="593"/>
      <c r="M29" s="593"/>
      <c r="N29" s="593"/>
      <c r="O29" s="593"/>
      <c r="P29" s="593"/>
    </row>
    <row r="30" spans="1:40" s="8" customFormat="1">
      <c r="A30" s="58"/>
      <c r="B30" s="7"/>
      <c r="C30" s="7"/>
      <c r="D30" s="7"/>
      <c r="E30" s="7"/>
      <c r="F30" s="7"/>
      <c r="G30" s="7"/>
      <c r="H30" s="17"/>
      <c r="I30" s="7"/>
      <c r="J30" s="7"/>
      <c r="K30" s="7"/>
      <c r="L30" s="7"/>
      <c r="M30" s="57"/>
      <c r="P30" s="22"/>
    </row>
    <row r="31" spans="1:40" ht="15.75">
      <c r="A31" s="594" t="s">
        <v>750</v>
      </c>
      <c r="B31" s="594"/>
      <c r="C31" s="594"/>
      <c r="D31" s="594"/>
      <c r="E31" s="594"/>
      <c r="F31" s="594"/>
      <c r="G31" s="594"/>
      <c r="H31" s="594"/>
      <c r="I31" s="594"/>
      <c r="J31" s="594"/>
      <c r="K31" s="594"/>
      <c r="L31" s="594"/>
      <c r="M31" s="594"/>
      <c r="N31" s="594"/>
      <c r="O31" s="594"/>
      <c r="P31" s="594"/>
      <c r="Q31" s="8"/>
      <c r="R31" s="8"/>
      <c r="S31" s="8"/>
      <c r="T31" s="8"/>
      <c r="U31" s="8"/>
      <c r="V31" s="8"/>
      <c r="W31" s="8"/>
      <c r="X31" s="8"/>
      <c r="Y31" s="132"/>
    </row>
    <row r="32" spans="1:40" s="8" customFormat="1" ht="9.75" customHeight="1">
      <c r="A32" s="56"/>
      <c r="B32" s="7"/>
      <c r="C32" s="7"/>
      <c r="D32" s="7"/>
      <c r="E32" s="7"/>
      <c r="F32" s="7"/>
      <c r="G32" s="7"/>
      <c r="H32" s="17"/>
      <c r="I32" s="7"/>
      <c r="J32" s="7"/>
      <c r="K32" s="7"/>
      <c r="L32" s="7"/>
      <c r="M32" s="57"/>
      <c r="P32" s="22"/>
      <c r="Y32" s="132"/>
      <c r="AC32" s="126"/>
      <c r="AD32" s="126"/>
      <c r="AE32" s="126"/>
      <c r="AF32" s="126"/>
      <c r="AG32" s="126"/>
      <c r="AH32" s="126"/>
      <c r="AI32" s="126"/>
      <c r="AJ32" s="126"/>
      <c r="AK32" s="126"/>
      <c r="AL32" s="126"/>
      <c r="AM32" s="126"/>
      <c r="AN32" s="126"/>
    </row>
    <row r="33" spans="1:40" s="33" customFormat="1" ht="18" customHeight="1">
      <c r="A33" s="12"/>
      <c r="B33" s="95" t="s">
        <v>203</v>
      </c>
      <c r="C33" s="95"/>
      <c r="D33" s="95"/>
      <c r="E33" s="95"/>
      <c r="F33" s="95"/>
      <c r="G33" s="95"/>
      <c r="H33" s="165"/>
      <c r="I33" s="96" t="s">
        <v>208</v>
      </c>
      <c r="J33" s="95"/>
      <c r="K33" s="95"/>
      <c r="L33" s="95"/>
      <c r="M33" s="95"/>
      <c r="N33" s="96" t="s">
        <v>219</v>
      </c>
      <c r="O33" s="95"/>
      <c r="P33" s="144"/>
      <c r="R33" s="104" t="s">
        <v>888</v>
      </c>
      <c r="S33" s="104"/>
      <c r="T33" s="104"/>
      <c r="U33" s="105" t="s">
        <v>191</v>
      </c>
      <c r="V33" s="104"/>
      <c r="W33" s="104"/>
      <c r="Y33" s="167" t="s">
        <v>139</v>
      </c>
      <c r="AC33" s="139"/>
      <c r="AD33" s="140"/>
      <c r="AE33" s="140"/>
      <c r="AF33" s="140"/>
      <c r="AG33" s="140"/>
      <c r="AH33" s="140"/>
      <c r="AI33" s="140"/>
      <c r="AJ33" s="139"/>
      <c r="AK33" s="139"/>
      <c r="AL33" s="139"/>
      <c r="AM33" s="139"/>
      <c r="AN33" s="139"/>
    </row>
    <row r="34" spans="1:40" s="61" customFormat="1" ht="26.25" customHeight="1">
      <c r="A34" s="13"/>
      <c r="B34" s="59">
        <v>1</v>
      </c>
      <c r="C34" s="59">
        <v>2</v>
      </c>
      <c r="D34" s="59">
        <v>3</v>
      </c>
      <c r="E34" s="59">
        <v>4</v>
      </c>
      <c r="F34" s="59">
        <v>5</v>
      </c>
      <c r="G34" s="59">
        <v>6</v>
      </c>
      <c r="H34" s="162" t="s">
        <v>19</v>
      </c>
      <c r="I34" s="97" t="s">
        <v>214</v>
      </c>
      <c r="J34" s="59">
        <v>1</v>
      </c>
      <c r="K34" s="59">
        <v>2</v>
      </c>
      <c r="L34" s="59">
        <v>3</v>
      </c>
      <c r="M34" s="60" t="s">
        <v>19</v>
      </c>
      <c r="N34" s="60">
        <v>1</v>
      </c>
      <c r="O34" s="59">
        <v>2</v>
      </c>
      <c r="P34" s="145" t="s">
        <v>19</v>
      </c>
      <c r="R34" s="106" t="s">
        <v>192</v>
      </c>
      <c r="S34" s="106" t="s">
        <v>193</v>
      </c>
      <c r="T34" s="106" t="s">
        <v>194</v>
      </c>
      <c r="U34" s="107" t="s">
        <v>192</v>
      </c>
      <c r="V34" s="106" t="s">
        <v>193</v>
      </c>
      <c r="W34" s="106" t="s">
        <v>194</v>
      </c>
      <c r="Y34" s="107" t="s">
        <v>192</v>
      </c>
      <c r="Z34" s="106" t="s">
        <v>193</v>
      </c>
      <c r="AA34" s="106" t="s">
        <v>194</v>
      </c>
      <c r="AC34" s="62"/>
      <c r="AD34" s="141"/>
      <c r="AE34" s="141"/>
      <c r="AF34" s="141"/>
      <c r="AG34" s="141"/>
      <c r="AH34" s="141"/>
      <c r="AI34" s="141"/>
      <c r="AJ34" s="62"/>
      <c r="AK34" s="141"/>
      <c r="AL34" s="141"/>
      <c r="AM34" s="141"/>
      <c r="AN34" s="62"/>
    </row>
    <row r="35" spans="1:40" ht="15.75" customHeight="1">
      <c r="A35" s="8" t="s">
        <v>220</v>
      </c>
      <c r="B35" s="78">
        <f>+'Tables by type (55-76)'!D41</f>
        <v>3.3238940203351333</v>
      </c>
      <c r="C35" s="78">
        <f>+'Tables by type (55-76)'!D72</f>
        <v>1.4180419804518507</v>
      </c>
      <c r="D35" s="78">
        <f>+'Tables by type (55-76)'!D103</f>
        <v>14.175308452115798</v>
      </c>
      <c r="E35" s="78">
        <f>+'Tables by type (55-76)'!D134</f>
        <v>5.6397316727743094</v>
      </c>
      <c r="F35" s="78">
        <f>+'Tables by type (55-76)'!D164</f>
        <v>2.5928792569659445</v>
      </c>
      <c r="G35" s="78">
        <f>+'Tables by type (55-76)'!D195</f>
        <v>68.603731914519827</v>
      </c>
      <c r="H35" s="163">
        <f>+'Tables by type (55-76)'!D9</f>
        <v>8.0376249170785989</v>
      </c>
      <c r="I35" s="79">
        <f>+'Tables by type (55-76)'!D257</f>
        <v>0</v>
      </c>
      <c r="J35" s="78">
        <f>+'Tables by type (55-76)'!D288</f>
        <v>12.397718159073408</v>
      </c>
      <c r="K35" s="78">
        <f>+'Tables by type (55-76)'!D319</f>
        <v>11.019772240261259</v>
      </c>
      <c r="L35" s="78">
        <f>+'Tables by type (55-76)'!D349</f>
        <v>17.304181497926681</v>
      </c>
      <c r="M35" s="79">
        <f>+'Tables by type (55-76)'!D226</f>
        <v>12.75236077504379</v>
      </c>
      <c r="N35" s="98">
        <f>+'Tables by type (55-76)'!D410</f>
        <v>8.4879482017519994</v>
      </c>
      <c r="O35" s="99">
        <f>+'Tables by type (55-76)'!D440</f>
        <v>0</v>
      </c>
      <c r="P35" s="146">
        <f>+'Tables by type (55-76)'!D380</f>
        <v>5.9553349875930524</v>
      </c>
      <c r="Q35" s="8" t="s">
        <v>220</v>
      </c>
      <c r="R35" s="135">
        <f>(GETPIVOTDATA(" Old %UG EL Web",' Pivot Table for Data Exchange'!$A$3,"State","AL","Type2","Four-Year")+GETPIVOTDATA(" Old %UG EL CV",' Pivot Table for Data Exchange'!$A$3,"State","AL","Type2","Four-Year")+GETPIVOTDATA(" Old %UG EL O",' Pivot Table for Data Exchange'!$A$3,"State","AL","Type2","Four-Year"))*100</f>
        <v>8.4144231410411656</v>
      </c>
      <c r="S35" s="135">
        <f>(GETPIVOTDATA(" Old %UG EL Web",' Pivot Table for Data Exchange'!$A$3,"State","AL","Type2","Two-Year")+GETPIVOTDATA(" Old %UG EL CV",' Pivot Table for Data Exchange'!$A$3,"State","AL","Type2","Two-Year")+GETPIVOTDATA(" Old %UG EL O",' Pivot Table for Data Exchange'!$A$3,"State","AL","Type2","Two-Year"))*100</f>
        <v>11.361819686987424</v>
      </c>
      <c r="T35" s="135">
        <f>(GETPIVOTDATA(" Old %UG EL Web",' Pivot Table for Data Exchange'!$A$3,"State","AL","Type2","Technical")+GETPIVOTDATA(" Old %UG EL CV",' Pivot Table for Data Exchange'!$A$3,"State","AL","Type2","Technical")+GETPIVOTDATA(" Old %UG EL O",' Pivot Table for Data Exchange'!$A$3,"State","AL","Type2","Technical"))*100</f>
        <v>7.3635752953728222</v>
      </c>
      <c r="U35" s="136">
        <f>IF(R35&gt;0,H35-R35,"—")</f>
        <v>-0.37679822396256668</v>
      </c>
      <c r="V35" s="137">
        <f>IF(S35&gt;0,M35-S35,"—")</f>
        <v>1.3905410880563664</v>
      </c>
      <c r="W35" s="137">
        <f>IF(T35&gt;0,P35-T35,"—")</f>
        <v>-1.4082403077797698</v>
      </c>
      <c r="X35" s="8" t="s">
        <v>220</v>
      </c>
      <c r="Y35" s="138">
        <f>(GETPIVOTDATA(" New %UG EL Web",' Pivot Table for Data Exchange'!$A$3,"State","AL","Type2","Four-Year")+GETPIVOTDATA(" New %UG EL CV",' Pivot Table for Data Exchange'!$A$3,"State","AL","Type2","Four-Year")+GETPIVOTDATA(" New %UG EL O",' Pivot Table for Data Exchange'!$A$3,"State","AL","Type2","Four-Year"))*100</f>
        <v>8.0376249170785972</v>
      </c>
      <c r="Z35" s="135">
        <f>(GETPIVOTDATA(" New %UG EL Web",' Pivot Table for Data Exchange'!$A$3,"State","AL","Type2","Two-Year")+GETPIVOTDATA(" New %UG EL CV",' Pivot Table for Data Exchange'!$A$3,"State","AL","Type2","Two-Year")+GETPIVOTDATA(" New %UG EL O",' Pivot Table for Data Exchange'!$A$3,"State","AL","Type2","Two-Year"))*100</f>
        <v>12.752360775043792</v>
      </c>
      <c r="AA35" s="135">
        <f>(GETPIVOTDATA(" New %UG EL Web",' Pivot Table for Data Exchange'!$A$3,"State","AL","Type2","Technical")+GETPIVOTDATA(" New %UG EL CV",' Pivot Table for Data Exchange'!$A$3,"State","AL","Type2","Technical")+GETPIVOTDATA(" New %UG EL O",' Pivot Table for Data Exchange'!$A$3,"State","AL","Type2","Technical"))*100</f>
        <v>5.9553349875930524</v>
      </c>
      <c r="AC35" s="126"/>
      <c r="AD35" s="142"/>
      <c r="AE35" s="142"/>
      <c r="AF35" s="142"/>
      <c r="AG35" s="137"/>
      <c r="AH35" s="137"/>
      <c r="AI35" s="137"/>
      <c r="AJ35" s="126"/>
      <c r="AK35" s="142"/>
      <c r="AL35" s="142"/>
      <c r="AM35" s="142"/>
      <c r="AN35" s="1"/>
    </row>
    <row r="36" spans="1:40" ht="15.75" customHeight="1" thickBot="1">
      <c r="A36" s="8" t="s">
        <v>221</v>
      </c>
      <c r="B36" s="78">
        <f>+'Tables by type (55-76)'!D42</f>
        <v>1.8522581398062785</v>
      </c>
      <c r="C36" s="78">
        <f>+'Tables by type (55-76)'!D73</f>
        <v>0</v>
      </c>
      <c r="D36" s="78">
        <f>+'Tables by type (55-76)'!D104</f>
        <v>10.802932246776182</v>
      </c>
      <c r="E36" s="78">
        <f>+'Tables by type (55-76)'!D135</f>
        <v>9.5581041611620119</v>
      </c>
      <c r="F36" s="78">
        <f>+'Tables by type (55-76)'!D165</f>
        <v>8.8779364586567322</v>
      </c>
      <c r="G36" s="78">
        <f>+'Tables by type (55-76)'!D196</f>
        <v>9.7385925315563835</v>
      </c>
      <c r="H36" s="146">
        <f>+'Tables by type (55-76)'!D10</f>
        <v>8.2808129758301909</v>
      </c>
      <c r="I36" s="79">
        <f>+'Tables by type (55-76)'!D258</f>
        <v>0</v>
      </c>
      <c r="J36" s="78">
        <f>+'Tables by type (55-76)'!D289</f>
        <v>27.620048886903042</v>
      </c>
      <c r="K36" s="78">
        <f>+'Tables by type (55-76)'!D320</f>
        <v>18.521669653846985</v>
      </c>
      <c r="L36" s="78">
        <f>+'Tables by type (55-76)'!D350</f>
        <v>14.572605107223476</v>
      </c>
      <c r="M36" s="79">
        <f>+'Tables by type (55-76)'!D227</f>
        <v>17.654060684359315</v>
      </c>
      <c r="N36" s="98">
        <f>+'Tables by type (55-76)'!D411</f>
        <v>0</v>
      </c>
      <c r="O36" s="99">
        <f>+'Tables by type (55-76)'!D441</f>
        <v>0</v>
      </c>
      <c r="P36" s="146">
        <f>+'Tables by type (55-76)'!D381</f>
        <v>0</v>
      </c>
      <c r="Q36" s="8" t="s">
        <v>221</v>
      </c>
      <c r="R36" s="135">
        <f>(GETPIVOTDATA(" Old %UG EL Web",' Pivot Table for Data Exchange'!$A$3,"State","Ar","Type2","Four-Year")+GETPIVOTDATA(" Old %UG EL CV",' Pivot Table for Data Exchange'!$A$3,"State","Ar","Type2","Four-Year")+GETPIVOTDATA(" Old %UG EL O",' Pivot Table for Data Exchange'!$A$3,"State","Ar","Type2","Four-Year"))*100</f>
        <v>6.2965793584709422</v>
      </c>
      <c r="S36" s="135">
        <f>(GETPIVOTDATA(" Old %UG EL Web",' Pivot Table for Data Exchange'!$A$3,"State","AR","Type2","Two-Year")+GETPIVOTDATA(" Old %UG EL CV",' Pivot Table for Data Exchange'!$A$3,"State","AR","Type2","Two-Year")+GETPIVOTDATA(" Old %UG EL O",' Pivot Table for Data Exchange'!$A$3,"State","AR","Type2","Two-Year"))*100</f>
        <v>15.34032470373271</v>
      </c>
      <c r="T36" s="135">
        <f>(GETPIVOTDATA(" Old %UG EL Web",' Pivot Table for Data Exchange'!$A$3,"State","AR","Type2","Technical")+GETPIVOTDATA(" Old %UG EL CV",' Pivot Table for Data Exchange'!$A$3,"State","AR","Type2","Technical")+GETPIVOTDATA(" Old %UG EL O",' Pivot Table for Data Exchange'!$A$3,"State","AR","Type2","Technical"))*100</f>
        <v>0</v>
      </c>
      <c r="U36" s="136">
        <f>IF(R36&gt;0,H36-R36,"—")</f>
        <v>1.9842336173592487</v>
      </c>
      <c r="V36" s="137">
        <f>IF(S36&gt;0,M36-S36,"—")</f>
        <v>2.3137359806266051</v>
      </c>
      <c r="W36" s="137" t="str">
        <f>IF(T36&gt;0,P36-T36,"—")</f>
        <v>—</v>
      </c>
      <c r="X36" s="8" t="s">
        <v>221</v>
      </c>
      <c r="Y36" s="138">
        <f>(GETPIVOTDATA(" New %UG EL Web",' Pivot Table for Data Exchange'!$A$3,"State","Ar","Type2","Four-Year")+GETPIVOTDATA(" New %UG EL CV",' Pivot Table for Data Exchange'!$A$3,"State","Ar","Type2","Four-Year")+GETPIVOTDATA(" New %UG EL O",' Pivot Table for Data Exchange'!$A$3,"State","Ar","Type2","Four-Year"))*100</f>
        <v>8.2808129758301909</v>
      </c>
      <c r="Z36" s="135">
        <f>(GETPIVOTDATA(" New %UG EL Web",' Pivot Table for Data Exchange'!$A$3,"State","AR","Type2","Two-Year")+GETPIVOTDATA(" New %UG EL CV",' Pivot Table for Data Exchange'!$A$3,"State","AR","Type2","Two-Year")+GETPIVOTDATA(" New %UG EL O",' Pivot Table for Data Exchange'!$A$3,"State","AR","Type2","Two-Year"))*100</f>
        <v>17.654060684359315</v>
      </c>
      <c r="AA36" s="135">
        <f>(GETPIVOTDATA(" New %UG EL Web",' Pivot Table for Data Exchange'!$A$3,"State","AR","Type2","Technical")+GETPIVOTDATA(" New %UG EL CV",' Pivot Table for Data Exchange'!$A$3,"State","AR","Type2","Technical")+GETPIVOTDATA(" New %UG EL O",' Pivot Table for Data Exchange'!$A$3,"State","AR","Type2","Technical"))*100</f>
        <v>0</v>
      </c>
      <c r="AC36" s="126"/>
      <c r="AD36" s="142"/>
      <c r="AE36" s="142"/>
      <c r="AF36" s="142"/>
      <c r="AG36" s="137"/>
      <c r="AH36" s="137"/>
      <c r="AI36" s="137"/>
      <c r="AJ36" s="126"/>
      <c r="AK36" s="142"/>
      <c r="AL36" s="142"/>
      <c r="AM36" s="142"/>
      <c r="AN36" s="1"/>
    </row>
    <row r="37" spans="1:40" ht="15.75" customHeight="1" thickBot="1">
      <c r="A37" s="8" t="s">
        <v>222</v>
      </c>
      <c r="B37" s="78">
        <f>+'Tables by type (55-76)'!D43</f>
        <v>4.7615559444712821</v>
      </c>
      <c r="C37" s="78">
        <f>+'Tables by type (55-76)'!D74</f>
        <v>0</v>
      </c>
      <c r="D37" s="78">
        <f>+'Tables by type (55-76)'!D105</f>
        <v>0</v>
      </c>
      <c r="E37" s="78">
        <f>+'Tables by type (55-76)'!D136</f>
        <v>0.54357392087634471</v>
      </c>
      <c r="F37" s="78">
        <f>+'Tables by type (55-76)'!D166</f>
        <v>0</v>
      </c>
      <c r="G37" s="78">
        <f>+'Tables by type (55-76)'!D197</f>
        <v>0</v>
      </c>
      <c r="H37" s="146">
        <f>+'Tables by type (55-76)'!D11</f>
        <v>4.0844885497705627</v>
      </c>
      <c r="I37" s="79">
        <f>+'Tables by type (55-76)'!D259</f>
        <v>0</v>
      </c>
      <c r="J37" s="78">
        <f>+'Tables by type (55-76)'!D290</f>
        <v>0</v>
      </c>
      <c r="K37" s="78">
        <f>+'Tables by type (55-76)'!D321</f>
        <v>11.41834583517184</v>
      </c>
      <c r="L37" s="78">
        <f>+'Tables by type (55-76)'!D351</f>
        <v>15.897396395008473</v>
      </c>
      <c r="M37" s="79">
        <f>+'Tables by type (55-76)'!D228</f>
        <v>12.423386581027874</v>
      </c>
      <c r="N37" s="98">
        <f>+'Tables by type (55-76)'!D412</f>
        <v>0</v>
      </c>
      <c r="O37" s="99">
        <f>+'Tables by type (55-76)'!D442</f>
        <v>0</v>
      </c>
      <c r="P37" s="146">
        <f>+'Tables by type (55-76)'!D382</f>
        <v>0</v>
      </c>
      <c r="Q37" s="8" t="s">
        <v>222</v>
      </c>
      <c r="R37" s="168">
        <f>(GETPIVOTDATA(" Old %UG EL Web",' Pivot Table for Data Exchange'!$A$3,"State","DE","Type2","Four-Year")+GETPIVOTDATA(" Old %UG EL CV",' Pivot Table for Data Exchange'!$A$3,"State","DE","Type2","Four-Year")+GETPIVOTDATA(" Old %UG EL O",' Pivot Table for Data Exchange'!$A$3,"State","DE","Type2","Four-Year"))*100</f>
        <v>4.4792355692984485</v>
      </c>
      <c r="S37" s="135">
        <f>(GETPIVOTDATA(" Old %UG EL Web",' Pivot Table for Data Exchange'!$A$3,"State","DE","Type2","Two-Year")+GETPIVOTDATA(" Old %UG EL CV",' Pivot Table for Data Exchange'!$A$3,"State","DE","Type2","Two-Year")+GETPIVOTDATA(" Old %UG EL O",' Pivot Table for Data Exchange'!$A$3,"State","DE","Type2","Two-Year"))*100</f>
        <v>12.403826900298998</v>
      </c>
      <c r="T37" s="135">
        <f>(GETPIVOTDATA(" Old %UG EL Web",' Pivot Table for Data Exchange'!$A$3,"State","DE","Type2","Technical")+GETPIVOTDATA(" Old %UG EL CV",' Pivot Table for Data Exchange'!$A$3,"State","DE","Type2","Technical")+GETPIVOTDATA(" Old %UG EL O",' Pivot Table for Data Exchange'!$A$3,"State","DE","Type2","Technical"))*100</f>
        <v>0</v>
      </c>
      <c r="U37" s="136">
        <f>IF(R37&gt;0,H37-R37,"—")</f>
        <v>-0.39474701952788571</v>
      </c>
      <c r="V37" s="576">
        <f>IF(S37&gt;0,M37-S37,"—")</f>
        <v>1.9559680728875151E-2</v>
      </c>
      <c r="W37" s="137" t="str">
        <f>IF(T37&gt;0,P37-T37,"—")</f>
        <v>—</v>
      </c>
      <c r="X37" s="8" t="s">
        <v>222</v>
      </c>
      <c r="Y37" s="138">
        <f>(GETPIVOTDATA(" New %UG EL Web",' Pivot Table for Data Exchange'!$A$3,"State","DE","Type2","Four-Year")+GETPIVOTDATA(" New %UG EL CV",' Pivot Table for Data Exchange'!$A$3,"State","DE","Type2","Four-Year")+GETPIVOTDATA(" New %UG EL O",' Pivot Table for Data Exchange'!$A$3,"State","DE","Type2","Four-Year"))*100</f>
        <v>4.0844885497705627</v>
      </c>
      <c r="Z37" s="135">
        <f>(GETPIVOTDATA(" New %UG EL Web",' Pivot Table for Data Exchange'!$A$3,"State","DE","Type2","Two-Year")+GETPIVOTDATA(" New %UG EL CV",' Pivot Table for Data Exchange'!$A$3,"State","DE","Type2","Two-Year")+GETPIVOTDATA(" New %UG EL O",' Pivot Table for Data Exchange'!$A$3,"State","DE","Type2","Two-Year"))*100</f>
        <v>12.423386581027874</v>
      </c>
      <c r="AA37" s="135">
        <f>(GETPIVOTDATA(" New %UG EL Web",' Pivot Table for Data Exchange'!$A$3,"State","DE","Type2","Technical")+GETPIVOTDATA(" New %UG EL CV",' Pivot Table for Data Exchange'!$A$3,"State","DE","Type2","Technical")+GETPIVOTDATA(" New %UG EL O",' Pivot Table for Data Exchange'!$A$3,"State","DE","Type2","Technical"))*100</f>
        <v>0</v>
      </c>
      <c r="AC37" s="126"/>
      <c r="AD37" s="142"/>
      <c r="AE37" s="142"/>
      <c r="AF37" s="142"/>
      <c r="AG37" s="137"/>
      <c r="AH37" s="137"/>
      <c r="AI37" s="137"/>
      <c r="AJ37" s="126"/>
      <c r="AK37" s="142"/>
      <c r="AL37" s="142"/>
      <c r="AM37" s="142"/>
      <c r="AN37" s="1"/>
    </row>
    <row r="38" spans="1:40" ht="15.75" customHeight="1">
      <c r="A38" s="8" t="s">
        <v>115</v>
      </c>
      <c r="B38" s="78">
        <f>+'Tables by type (55-76)'!D44</f>
        <v>16.22184100674307</v>
      </c>
      <c r="C38" s="78">
        <f>+'Tables by type (55-76)'!D75</f>
        <v>13.295773706031831</v>
      </c>
      <c r="D38" s="78">
        <f>+'Tables by type (55-76)'!D106</f>
        <v>10.096714202963808</v>
      </c>
      <c r="E38" s="78">
        <f>+'Tables by type (55-76)'!D137</f>
        <v>16.81984051898905</v>
      </c>
      <c r="F38" s="78">
        <f>+'Tables by type (55-76)'!D167</f>
        <v>0</v>
      </c>
      <c r="G38" s="78">
        <f>+'Tables by type (55-76)'!D198</f>
        <v>0</v>
      </c>
      <c r="H38" s="146">
        <f>+'Tables by type (55-76)'!D12</f>
        <v>14.758472858104735</v>
      </c>
      <c r="I38" s="79">
        <f>+'Tables by type (55-76)'!D260</f>
        <v>13.747195789889664</v>
      </c>
      <c r="J38" s="78">
        <f>+'Tables by type (55-76)'!D291</f>
        <v>16.257399272319653</v>
      </c>
      <c r="K38" s="78">
        <f>+'Tables by type (55-76)'!D322</f>
        <v>17.806088417003117</v>
      </c>
      <c r="L38" s="78">
        <f>+'Tables by type (55-76)'!D352</f>
        <v>24.908590355744824</v>
      </c>
      <c r="M38" s="79">
        <f>+'Tables by type (55-76)'!D229</f>
        <v>15.813534550964931</v>
      </c>
      <c r="N38" s="98">
        <f>+'Tables by type (55-76)'!D413</f>
        <v>0</v>
      </c>
      <c r="O38" s="99">
        <f>+'Tables by type (55-76)'!D443</f>
        <v>0</v>
      </c>
      <c r="P38" s="146">
        <f>+'Tables by type (55-76)'!D383</f>
        <v>0</v>
      </c>
      <c r="Q38" s="8" t="s">
        <v>115</v>
      </c>
      <c r="R38" s="135">
        <f>(GETPIVOTDATA(" Old %UG EL Web",' Pivot Table for Data Exchange'!$A$3,"State","FL","Type2","Four-Year")+GETPIVOTDATA(" Old %UG EL CV",' Pivot Table for Data Exchange'!$A$3,"State","FL","Type2","Four-Year")+GETPIVOTDATA(" Old %UG EL O",' Pivot Table for Data Exchange'!$A$3,"State","FL","Type2","Four-Year"))*100</f>
        <v>15.33887603104036</v>
      </c>
      <c r="S38" s="135">
        <f>(GETPIVOTDATA(" Old %UG EL Web",' Pivot Table for Data Exchange'!$A$3,"State","FL","Type2","Two-Year")+GETPIVOTDATA(" Old %UG EL CV",' Pivot Table for Data Exchange'!$A$3,"State","FL","Type2","Two-Year")+GETPIVOTDATA(" Old %UG EL O",' Pivot Table for Data Exchange'!$A$3,"State","FL","Type2","Two-Year"))*100</f>
        <v>13.501615835642363</v>
      </c>
      <c r="T38" s="135">
        <f>(GETPIVOTDATA(" Old %UG EL Web",' Pivot Table for Data Exchange'!$A$3,"State","FL","Type2","Technical")+GETPIVOTDATA(" Old %UG EL CV",' Pivot Table for Data Exchange'!$A$3,"State","FL","Type2","Technical")+GETPIVOTDATA(" Old %UG EL O",' Pivot Table for Data Exchange'!$A$3,"State","FL","Type2","Technical"))*100</f>
        <v>0</v>
      </c>
      <c r="U38" s="136">
        <f>IF(R38&gt;0,H38-R38,"—")</f>
        <v>-0.58040317293562538</v>
      </c>
      <c r="V38" s="137">
        <f>IF(S38&gt;0,M38-S38,"—")</f>
        <v>2.3119187153225678</v>
      </c>
      <c r="W38" s="137" t="str">
        <f>IF(T38&gt;0,P38-T38,"—")</f>
        <v>—</v>
      </c>
      <c r="X38" s="8" t="s">
        <v>115</v>
      </c>
      <c r="Y38" s="138">
        <f>(GETPIVOTDATA(" New %UG EL Web",' Pivot Table for Data Exchange'!$A$3,"State","FL","Type2","Four-Year")+GETPIVOTDATA(" New %UG EL CV",' Pivot Table for Data Exchange'!$A$3,"State","FL","Type2","Four-Year")+GETPIVOTDATA(" New %UG EL O",' Pivot Table for Data Exchange'!$A$3,"State","FL","Type2","Four-Year"))*100</f>
        <v>14.758472858104737</v>
      </c>
      <c r="Z38" s="135">
        <f>(GETPIVOTDATA(" New %UG EL Web",' Pivot Table for Data Exchange'!$A$3,"State","FL","Type2","Two-Year")+GETPIVOTDATA(" New %UG EL CV",' Pivot Table for Data Exchange'!$A$3,"State","FL","Type2","Two-Year")+GETPIVOTDATA(" New %UG EL O",' Pivot Table for Data Exchange'!$A$3,"State","FL","Type2","Two-Year"))*100</f>
        <v>15.813534550964933</v>
      </c>
      <c r="AA38" s="135">
        <f>(GETPIVOTDATA(" New %UG EL Web",' Pivot Table for Data Exchange'!$A$3,"State","FL","Type2","Technical")+GETPIVOTDATA(" New %UG EL CV",' Pivot Table for Data Exchange'!$A$3,"State","FL","Type2","Technical")+GETPIVOTDATA(" New %UG EL O",' Pivot Table for Data Exchange'!$A$3,"State","FL","Type2","Technical"))*100</f>
        <v>0</v>
      </c>
      <c r="AC38" s="126"/>
      <c r="AD38" s="142"/>
      <c r="AE38" s="142"/>
      <c r="AF38" s="142"/>
      <c r="AG38" s="137"/>
      <c r="AH38" s="137"/>
      <c r="AI38" s="137"/>
      <c r="AJ38" s="126"/>
      <c r="AK38" s="142"/>
      <c r="AL38" s="142"/>
      <c r="AM38" s="142"/>
      <c r="AN38" s="1"/>
    </row>
    <row r="39" spans="1:40" ht="15.75" customHeight="1">
      <c r="H39" s="146"/>
      <c r="I39" s="79"/>
      <c r="M39" s="79"/>
      <c r="N39" s="98"/>
      <c r="O39" s="99"/>
      <c r="P39" s="146"/>
      <c r="AC39" s="126"/>
      <c r="AD39" s="142"/>
      <c r="AE39" s="142"/>
      <c r="AF39" s="142"/>
      <c r="AG39" s="137"/>
      <c r="AH39" s="137"/>
      <c r="AI39" s="137"/>
      <c r="AJ39" s="126"/>
      <c r="AK39" s="142"/>
      <c r="AL39" s="142"/>
      <c r="AM39" s="142"/>
      <c r="AN39" s="1"/>
    </row>
    <row r="40" spans="1:40" ht="15.75" customHeight="1">
      <c r="A40" s="8" t="s">
        <v>224</v>
      </c>
      <c r="B40" s="78">
        <f>+'Tables by type (55-76)'!D46</f>
        <v>0.50402360449230965</v>
      </c>
      <c r="C40" s="78">
        <f>+'Tables by type (55-76)'!D77</f>
        <v>1.3469056307162155</v>
      </c>
      <c r="D40" s="78">
        <f>+'Tables by type (55-76)'!D108</f>
        <v>4.9384008762771767</v>
      </c>
      <c r="E40" s="78">
        <f>+'Tables by type (55-76)'!D139</f>
        <v>1.8966950969299892</v>
      </c>
      <c r="F40" s="78">
        <f>+'Tables by type (55-76)'!D169</f>
        <v>5.7280687851652274</v>
      </c>
      <c r="G40" s="78">
        <f>+'Tables by type (55-76)'!D200</f>
        <v>7.9217886138805493</v>
      </c>
      <c r="H40" s="146">
        <f>+'Tables by type (55-76)'!D14</f>
        <v>2.8881758155781476</v>
      </c>
      <c r="I40" s="79">
        <f>+'Tables by type (55-76)'!D262</f>
        <v>0.4604537387884311</v>
      </c>
      <c r="J40" s="78">
        <f>+'Tables by type (55-76)'!D293</f>
        <v>17.535173470187733</v>
      </c>
      <c r="K40" s="78">
        <f>+'Tables by type (55-76)'!D324</f>
        <v>8.3827357423669877</v>
      </c>
      <c r="L40" s="78">
        <f>+'Tables by type (55-76)'!D354</f>
        <v>6.1479297379458524</v>
      </c>
      <c r="M40" s="79">
        <f>+'Tables by type (55-76)'!D231</f>
        <v>10.508371008793295</v>
      </c>
      <c r="N40" s="98">
        <f>+'Tables by type (55-76)'!D415</f>
        <v>26.413479862200813</v>
      </c>
      <c r="O40" s="99">
        <f>+'Tables by type (55-76)'!D445</f>
        <v>19.534401142634447</v>
      </c>
      <c r="P40" s="146">
        <f>+'Tables by type (55-76)'!D385</f>
        <v>26.002933059366747</v>
      </c>
      <c r="Q40" s="8" t="s">
        <v>224</v>
      </c>
      <c r="R40" s="135">
        <f>(GETPIVOTDATA(" Old %UG EL Web",' Pivot Table for Data Exchange'!$A$3,"State","GA","Type2","Four-Year")+GETPIVOTDATA(" Old %UG EL CV",' Pivot Table for Data Exchange'!$A$3,"State","GA","Type2","Four-Year")+GETPIVOTDATA(" Old %UG EL O",' Pivot Table for Data Exchange'!$A$3,"State","GA","Type2","Four-Year"))*100</f>
        <v>3.0695054657950931</v>
      </c>
      <c r="S40" s="135">
        <f>(GETPIVOTDATA(" Old %UG EL Web",' Pivot Table for Data Exchange'!$A$3,"State","GA","Type2","Two-Year")+GETPIVOTDATA(" Old %UG EL CV",' Pivot Table for Data Exchange'!$A$3,"State","GA","Type2","Two-Year")+GETPIVOTDATA(" Old %UG EL O",' Pivot Table for Data Exchange'!$A$3,"State","GA","Type2","Two-Year"))*100</f>
        <v>8.4603492175915704</v>
      </c>
      <c r="T40" s="135">
        <f>(GETPIVOTDATA(" Old %UG EL Web",' Pivot Table for Data Exchange'!$A$3,"State","GA","Type2","Technical")+GETPIVOTDATA(" Old %UG EL CV",' Pivot Table for Data Exchange'!$A$3,"State","GA","Type2","Technical")+GETPIVOTDATA(" Old %UG EL O",' Pivot Table for Data Exchange'!$A$3,"State","GA","Type2","Technical"))*100</f>
        <v>21.701798773254026</v>
      </c>
      <c r="U40" s="587">
        <f>IF(R40&gt;0,H40-R40,"—")</f>
        <v>-0.18132965021694547</v>
      </c>
      <c r="V40" s="137">
        <f>IF(S40&gt;0,M40-S40,"—")</f>
        <v>2.0480217912017249</v>
      </c>
      <c r="W40" s="137">
        <f>IF(T40&gt;0,P40-T40,"—")</f>
        <v>4.3011342861127204</v>
      </c>
      <c r="X40" s="8" t="s">
        <v>224</v>
      </c>
      <c r="Y40" s="135">
        <f>(GETPIVOTDATA(" New %UG EL Web",' Pivot Table for Data Exchange'!$A$3,"State","GA","Type2","Four-Year")+GETPIVOTDATA(" New %UG EL CV",' Pivot Table for Data Exchange'!$A$3,"State","GA","Type2","Four-Year")+GETPIVOTDATA(" New %UG EL O",' Pivot Table for Data Exchange'!$A$3,"State","GA","Type2","Four-Year"))*100</f>
        <v>2.8881758155781476</v>
      </c>
      <c r="Z40" s="135">
        <f>(GETPIVOTDATA(" New %UG EL Web",' Pivot Table for Data Exchange'!$A$3,"State","GA","Type2","Two-Year")+GETPIVOTDATA(" New %UG EL CV",' Pivot Table for Data Exchange'!$A$3,"State","GA","Type2","Two-Year")+GETPIVOTDATA(" New %UG EL O",' Pivot Table for Data Exchange'!$A$3,"State","GA","Type2","Two-Year"))*100</f>
        <v>10.508371008793294</v>
      </c>
      <c r="AA40" s="135">
        <f>(GETPIVOTDATA(" New %UG EL Web",' Pivot Table for Data Exchange'!$A$3,"State","GA","Type2","Technical")+GETPIVOTDATA(" New %UG EL CV",' Pivot Table for Data Exchange'!$A$3,"State","GA","Type2","Technical")+GETPIVOTDATA(" New %UG EL O",' Pivot Table for Data Exchange'!$A$3,"State","GA","Type2","Technical"))*100</f>
        <v>26.002933059366747</v>
      </c>
      <c r="AC40" s="126"/>
      <c r="AD40" s="142"/>
      <c r="AE40" s="142"/>
      <c r="AF40" s="142"/>
      <c r="AG40" s="137"/>
      <c r="AH40" s="137"/>
      <c r="AI40" s="137"/>
      <c r="AJ40" s="126"/>
      <c r="AK40" s="142"/>
      <c r="AL40" s="142"/>
      <c r="AM40" s="142"/>
      <c r="AN40" s="1"/>
    </row>
    <row r="41" spans="1:40" ht="15.75" customHeight="1">
      <c r="A41" s="8" t="s">
        <v>225</v>
      </c>
      <c r="B41" s="78">
        <f>+'Tables by type (55-76)'!D47</f>
        <v>3.4625799389295389</v>
      </c>
      <c r="C41" s="78">
        <f>+'Tables by type (55-76)'!D78</f>
        <v>0</v>
      </c>
      <c r="D41" s="78">
        <f>+'Tables by type (55-76)'!D109</f>
        <v>9.5283608389871297</v>
      </c>
      <c r="E41" s="78">
        <f>+'Tables by type (55-76)'!D140</f>
        <v>9.2923676122099437</v>
      </c>
      <c r="F41" s="78">
        <f>+'Tables by type (55-76)'!D170</f>
        <v>10.735315352896819</v>
      </c>
      <c r="G41" s="78">
        <f>+'Tables by type (55-76)'!D201</f>
        <v>0</v>
      </c>
      <c r="H41" s="146">
        <f>+'Tables by type (55-76)'!D15</f>
        <v>7.3263635562218008</v>
      </c>
      <c r="I41" s="79">
        <f>+'Tables by type (55-76)'!D263</f>
        <v>0</v>
      </c>
      <c r="J41" s="78">
        <f>+'Tables by type (55-76)'!D294</f>
        <v>17.945202594558165</v>
      </c>
      <c r="K41" s="78">
        <f>+'Tables by type (55-76)'!D325</f>
        <v>21.271948970160075</v>
      </c>
      <c r="L41" s="78">
        <f>+'Tables by type (55-76)'!D355</f>
        <v>23.86734006734007</v>
      </c>
      <c r="M41" s="79">
        <f>+'Tables by type (55-76)'!D232</f>
        <v>20.38399740660854</v>
      </c>
      <c r="N41" s="98">
        <f>+'Tables by type (55-76)'!D416</f>
        <v>3.3393655888278078</v>
      </c>
      <c r="O41" s="99">
        <f>+'Tables by type (55-76)'!D446</f>
        <v>0</v>
      </c>
      <c r="P41" s="146">
        <f>+'Tables by type (55-76)'!D386</f>
        <v>3.3393655888278078</v>
      </c>
      <c r="Q41" s="8" t="s">
        <v>225</v>
      </c>
      <c r="R41" s="135">
        <f>(GETPIVOTDATA(" Old %UG EL Web",' Pivot Table for Data Exchange'!$A$3,"State","KY","Type2","Four-Year")+GETPIVOTDATA(" Old %UG EL CV",' Pivot Table for Data Exchange'!$A$3,"State","KY","Type2","Four-Year")+GETPIVOTDATA(" Old %UG EL O",' Pivot Table for Data Exchange'!$A$3,"State","KY","Type2","Four-Year"))*100</f>
        <v>5.8285172195290276</v>
      </c>
      <c r="S41" s="135">
        <f>(GETPIVOTDATA(" Old %UG EL Web",' Pivot Table for Data Exchange'!$A$3,"State","KY","Type2","Two-Year")+GETPIVOTDATA(" Old %UG EL CV",' Pivot Table for Data Exchange'!$A$3,"State","KY","Type2","Two-Year")+GETPIVOTDATA(" Old %UG EL O",' Pivot Table for Data Exchange'!$A$3,"State","KY","Type2","Two-Year"))*100</f>
        <v>16.224284882116688</v>
      </c>
      <c r="T41" s="135">
        <f>(GETPIVOTDATA(" Old %UG EL Web",' Pivot Table for Data Exchange'!$A$3,"State","KY","Type2","Technical")+GETPIVOTDATA(" Old %UG EL CV",' Pivot Table for Data Exchange'!$A$3,"State","KY","Type2","Technical")+GETPIVOTDATA(" Old %UG EL O",' Pivot Table for Data Exchange'!$A$3,"State","KY","Type2","Technical"))*100</f>
        <v>2.9841330301984264</v>
      </c>
      <c r="U41" s="136">
        <f>IF(R41&gt;0,H41-R41,"—")</f>
        <v>1.4978463366927732</v>
      </c>
      <c r="V41" s="137">
        <f>IF(S41&gt;0,M41-S41,"—")</f>
        <v>4.1597125244918516</v>
      </c>
      <c r="W41" s="137">
        <f>IF(T41&gt;0,P41-T41,"—")</f>
        <v>0.35523255862938141</v>
      </c>
      <c r="X41" s="8" t="s">
        <v>225</v>
      </c>
      <c r="Y41" s="138">
        <f>(GETPIVOTDATA(" New %UG EL Web",' Pivot Table for Data Exchange'!$A$3,"State","KY","Type2","Four-Year")+GETPIVOTDATA(" New %UG EL CV",' Pivot Table for Data Exchange'!$A$3,"State","KY","Type2","Four-Year")+GETPIVOTDATA(" New %UG EL O",' Pivot Table for Data Exchange'!$A$3,"State","KY","Type2","Four-Year"))*100</f>
        <v>7.3263635562217999</v>
      </c>
      <c r="Z41" s="135">
        <f>(GETPIVOTDATA(" New %UG EL Web",' Pivot Table for Data Exchange'!$A$3,"State","KY","Type2","Two-Year")+GETPIVOTDATA(" New %UG EL CV",' Pivot Table for Data Exchange'!$A$3,"State","KY","Type2","Two-Year")+GETPIVOTDATA(" New %UG EL O",' Pivot Table for Data Exchange'!$A$3,"State","KY","Type2","Two-Year"))*100</f>
        <v>20.383997406608536</v>
      </c>
      <c r="AA41" s="135">
        <f>(GETPIVOTDATA(" New %UG EL Web",' Pivot Table for Data Exchange'!$A$3,"State","KY","Type2","Technical")+GETPIVOTDATA(" New %UG EL CV",' Pivot Table for Data Exchange'!$A$3,"State","KY","Type2","Technical")+GETPIVOTDATA(" New %UG EL O",' Pivot Table for Data Exchange'!$A$3,"State","KY","Type2","Technical"))*100</f>
        <v>3.3393655888278078</v>
      </c>
      <c r="AC41" s="126"/>
      <c r="AD41" s="142"/>
      <c r="AE41" s="142"/>
      <c r="AF41" s="142"/>
      <c r="AG41" s="137"/>
      <c r="AH41" s="137"/>
      <c r="AI41" s="137"/>
      <c r="AJ41" s="126"/>
      <c r="AK41" s="142"/>
      <c r="AL41" s="142"/>
      <c r="AM41" s="142"/>
      <c r="AN41" s="1"/>
    </row>
    <row r="42" spans="1:40" ht="15.75" customHeight="1">
      <c r="A42" s="8" t="s">
        <v>226</v>
      </c>
      <c r="B42" s="78">
        <f>+'Tables by type (55-76)'!D48</f>
        <v>0</v>
      </c>
      <c r="C42" s="78">
        <f>+'Tables by type (55-76)'!D79</f>
        <v>1.4600661066664828</v>
      </c>
      <c r="D42" s="78">
        <f>+'Tables by type (55-76)'!D110</f>
        <v>4.2581624792237935</v>
      </c>
      <c r="E42" s="78">
        <f>+'Tables by type (55-76)'!D141</f>
        <v>8.7546150720746194</v>
      </c>
      <c r="F42" s="78">
        <f>+'Tables by type (55-76)'!D171</f>
        <v>0</v>
      </c>
      <c r="G42" s="78">
        <f>+'Tables by type (55-76)'!D202</f>
        <v>0</v>
      </c>
      <c r="H42" s="146">
        <f>+'Tables by type (55-76)'!D16</f>
        <v>3.7172176940115169</v>
      </c>
      <c r="I42" s="79">
        <f>+'Tables by type (55-76)'!D264</f>
        <v>1.4880347095112196</v>
      </c>
      <c r="J42" s="78">
        <f>+'Tables by type (55-76)'!D295</f>
        <v>5.7897943048228839</v>
      </c>
      <c r="K42" s="78">
        <f>+'Tables by type (55-76)'!D326</f>
        <v>7.5528016678184224</v>
      </c>
      <c r="L42" s="78">
        <f>+'Tables by type (55-76)'!D356</f>
        <v>1.7674911037261418</v>
      </c>
      <c r="M42" s="79">
        <f>+'Tables by type (55-76)'!D233</f>
        <v>5.2797051644258524</v>
      </c>
      <c r="N42" s="98">
        <f>+'Tables by type (55-76)'!D417</f>
        <v>0</v>
      </c>
      <c r="O42" s="99">
        <f>+'Tables by type (55-76)'!D447</f>
        <v>0</v>
      </c>
      <c r="P42" s="146">
        <f>+'Tables by type (55-76)'!D387</f>
        <v>0</v>
      </c>
      <c r="Q42" s="8" t="s">
        <v>226</v>
      </c>
      <c r="R42" s="135">
        <f>(GETPIVOTDATA(" Old %UG EL Web",' Pivot Table for Data Exchange'!$A$3,"State","LA","Type2","Four-Year")+GETPIVOTDATA(" Old %UG EL CV",' Pivot Table for Data Exchange'!$A$3,"State","LA","Type2","Four-Year")+GETPIVOTDATA(" Old %UG EL O",' Pivot Table for Data Exchange'!$A$3,"State","LA","Type2","Four-Year"))*100</f>
        <v>2.8550431098388338</v>
      </c>
      <c r="S42" s="135">
        <f>(GETPIVOTDATA(" Old %UG EL Web",' Pivot Table for Data Exchange'!$A$3,"State","LA","Type2","Two-Year")+GETPIVOTDATA(" Old %UG EL CV",' Pivot Table for Data Exchange'!$A$3,"State","LA","Type2","Two-Year")+GETPIVOTDATA(" Old %UG EL O",' Pivot Table for Data Exchange'!$A$3,"State","LA","Type2","Two-Year"))*100</f>
        <v>7.3119021731735705</v>
      </c>
      <c r="T42" s="135">
        <f>(GETPIVOTDATA(" Old %UG EL Web",' Pivot Table for Data Exchange'!$A$3,"State","LA","Type2","Technical")+GETPIVOTDATA(" Old %UG EL CV",' Pivot Table for Data Exchange'!$A$3,"State","LA","Type2","Technical")+GETPIVOTDATA(" Old %UG EL O",' Pivot Table for Data Exchange'!$A$3,"State","LA","Type2","Technical"))*100</f>
        <v>0</v>
      </c>
      <c r="U42" s="136">
        <f>IF(R42&gt;0,H42-R42,"—")</f>
        <v>0.86217458417268311</v>
      </c>
      <c r="V42" s="137">
        <f>IF(S42&gt;0,M42-S42,"—")</f>
        <v>-2.0321970087477181</v>
      </c>
      <c r="W42" s="137" t="str">
        <f>IF(T42&gt;0,P42-T42,"—")</f>
        <v>—</v>
      </c>
      <c r="X42" s="8" t="s">
        <v>226</v>
      </c>
      <c r="Y42" s="138">
        <f>(GETPIVOTDATA(" New %UG EL Web",' Pivot Table for Data Exchange'!$A$3,"State","LA","Type2","Four-Year")+GETPIVOTDATA(" New %UG EL CV",' Pivot Table for Data Exchange'!$A$3,"State","LA","Type2","Four-Year")+GETPIVOTDATA(" New %UG EL O",' Pivot Table for Data Exchange'!$A$3,"State","LA","Type2","Four-Year"))*100</f>
        <v>3.7172176940115174</v>
      </c>
      <c r="Z42" s="135">
        <f>(GETPIVOTDATA(" New %UG EL Web",' Pivot Table for Data Exchange'!$A$3,"State","LA","Type2","Two-Year")+GETPIVOTDATA(" New %UG EL CV",' Pivot Table for Data Exchange'!$A$3,"State","LA","Type2","Two-Year")+GETPIVOTDATA(" New %UG EL O",' Pivot Table for Data Exchange'!$A$3,"State","LA","Type2","Two-Year"))*100</f>
        <v>5.2797051644258524</v>
      </c>
      <c r="AA42" s="135">
        <f>(GETPIVOTDATA(" New %UG EL Web",' Pivot Table for Data Exchange'!$A$3,"State","LA","Type2","Technical")+GETPIVOTDATA(" New %UG EL CV",' Pivot Table for Data Exchange'!$A$3,"State","LA","Type2","Technical")+GETPIVOTDATA(" New %UG EL O",' Pivot Table for Data Exchange'!$A$3,"State","LA","Type2","Technical"))*100</f>
        <v>0</v>
      </c>
      <c r="AC42" s="126"/>
      <c r="AD42" s="142"/>
      <c r="AE42" s="142"/>
      <c r="AF42" s="142"/>
      <c r="AG42" s="137"/>
      <c r="AH42" s="137"/>
      <c r="AI42" s="137"/>
      <c r="AJ42" s="126"/>
      <c r="AK42" s="142"/>
      <c r="AL42" s="142"/>
      <c r="AM42" s="142"/>
      <c r="AN42" s="1"/>
    </row>
    <row r="43" spans="1:40" ht="15.75" customHeight="1">
      <c r="A43" s="8" t="s">
        <v>33</v>
      </c>
      <c r="B43" s="78">
        <f>+'Tables by type (55-76)'!D49</f>
        <v>0.56810123137803059</v>
      </c>
      <c r="C43" s="78">
        <f>+'Tables by type (55-76)'!D80</f>
        <v>0.37171332897422182</v>
      </c>
      <c r="D43" s="78">
        <f>+'Tables by type (55-76)'!D111</f>
        <v>1.9567281579574627</v>
      </c>
      <c r="E43" s="78">
        <f>+'Tables by type (55-76)'!D142</f>
        <v>5.8418819965365687</v>
      </c>
      <c r="F43" s="78">
        <f>+'Tables by type (55-76)'!D172</f>
        <v>0</v>
      </c>
      <c r="G43" s="78">
        <f>+'Tables by type (55-76)'!D203</f>
        <v>0</v>
      </c>
      <c r="H43" s="146">
        <f>+'Tables by type (55-76)'!D17</f>
        <v>12.63062685835191</v>
      </c>
      <c r="I43" s="79">
        <f>+'Tables by type (55-76)'!D265</f>
        <v>0</v>
      </c>
      <c r="J43" s="78">
        <f>+'Tables by type (55-76)'!D296</f>
        <v>9.8710442048330567</v>
      </c>
      <c r="K43" s="78">
        <f>+'Tables by type (55-76)'!D327</f>
        <v>13.355624726979981</v>
      </c>
      <c r="L43" s="78">
        <f>+'Tables by type (55-76)'!D357</f>
        <v>11.188946098080656</v>
      </c>
      <c r="M43" s="79">
        <f>+'Tables by type (55-76)'!D234</f>
        <v>11.19397368934254</v>
      </c>
      <c r="N43" s="98">
        <f>+'Tables by type (55-76)'!D418</f>
        <v>0</v>
      </c>
      <c r="O43" s="99">
        <f>+'Tables by type (55-76)'!D448</f>
        <v>0</v>
      </c>
      <c r="P43" s="146">
        <f>+'Tables by type (55-76)'!D388</f>
        <v>0</v>
      </c>
      <c r="Q43" s="8" t="s">
        <v>33</v>
      </c>
      <c r="R43" s="135">
        <f>(GETPIVOTDATA(" Old %UG EL Web",' Pivot Table for Data Exchange'!$A$3,"State","MD","Type2","Four-Year")+GETPIVOTDATA(" Old %UG EL CV",' Pivot Table for Data Exchange'!$A$3,"State","MD","Type2","Four-Year")+GETPIVOTDATA(" Old %UG EL O",' Pivot Table for Data Exchange'!$A$3,"State","MD","Type2","Four-Year"))*100</f>
        <v>12.618631210638863</v>
      </c>
      <c r="S43" s="135">
        <f>(GETPIVOTDATA(" Old %UG EL Web",' Pivot Table for Data Exchange'!$A$3,"State","MD","Type2","Two-Year")+GETPIVOTDATA(" Old %UG EL CV",' Pivot Table for Data Exchange'!$A$3,"State","MD","Type2","Two-Year")+GETPIVOTDATA(" Old %UG EL O",' Pivot Table for Data Exchange'!$A$3,"State","MD","Type2","Two-Year"))*100</f>
        <v>10.316683074726409</v>
      </c>
      <c r="T43" s="135">
        <f>(GETPIVOTDATA(" Old %UG EL Web",' Pivot Table for Data Exchange'!$A$3,"State","MD","Type2","Technical")+GETPIVOTDATA(" Old %UG EL CV",' Pivot Table for Data Exchange'!$A$3,"State","MD","Type2","Technical")+GETPIVOTDATA(" Old %UG EL O",' Pivot Table for Data Exchange'!$A$3,"State","MD","Type2","Technical"))*100</f>
        <v>0</v>
      </c>
      <c r="U43" s="575">
        <f>IF(R43&gt;0,H43-R43,"—")</f>
        <v>1.1995647713046509E-2</v>
      </c>
      <c r="V43" s="137">
        <f>IF(S43&gt;0,M43-S43,"—")</f>
        <v>0.87729061461613078</v>
      </c>
      <c r="W43" s="137" t="str">
        <f>IF(T43&gt;0,P43-T43,"—")</f>
        <v>—</v>
      </c>
      <c r="X43" s="8" t="s">
        <v>33</v>
      </c>
      <c r="Y43" s="138">
        <f>(GETPIVOTDATA(" New %UG EL Web",' Pivot Table for Data Exchange'!$A$3,"State","MD","Type2","Four-Year")+GETPIVOTDATA(" New %UG EL CV",' Pivot Table for Data Exchange'!$A$3,"State","MD","Type2","Four-Year")+GETPIVOTDATA(" New %UG EL O",' Pivot Table for Data Exchange'!$A$3,"State","MD","Type2","Four-Year"))*100</f>
        <v>12.63062685835191</v>
      </c>
      <c r="Z43" s="135">
        <f>(GETPIVOTDATA(" New %UG EL Web",' Pivot Table for Data Exchange'!$A$3,"State","MD","Type2","Two-Year")+GETPIVOTDATA(" New %UG EL CV",' Pivot Table for Data Exchange'!$A$3,"State","MD","Type2","Two-Year")+GETPIVOTDATA(" New %UG EL O",' Pivot Table for Data Exchange'!$A$3,"State","MD","Type2","Two-Year"))*100</f>
        <v>11.193973689342538</v>
      </c>
      <c r="AA43" s="135">
        <f>(GETPIVOTDATA(" New %UG EL Web",' Pivot Table for Data Exchange'!$A$3,"State","MD","Type2","Technical")+GETPIVOTDATA(" New %UG EL CV",' Pivot Table for Data Exchange'!$A$3,"State","MD","Type2","Technical")+GETPIVOTDATA(" New %UG EL O",' Pivot Table for Data Exchange'!$A$3,"State","MD","Type2","Technical"))*100</f>
        <v>0</v>
      </c>
      <c r="AC43" s="126"/>
      <c r="AD43" s="142"/>
      <c r="AE43" s="142"/>
      <c r="AF43" s="142"/>
      <c r="AG43" s="137"/>
      <c r="AH43" s="137"/>
      <c r="AI43" s="137"/>
      <c r="AJ43" s="126"/>
      <c r="AK43" s="142"/>
      <c r="AL43" s="142"/>
      <c r="AM43" s="142"/>
      <c r="AN43" s="1"/>
    </row>
    <row r="44" spans="1:40" ht="15.75" customHeight="1">
      <c r="H44" s="146"/>
      <c r="I44" s="79"/>
      <c r="M44" s="79"/>
      <c r="N44" s="98"/>
      <c r="O44" s="99"/>
      <c r="P44" s="146"/>
      <c r="AC44" s="126"/>
      <c r="AD44" s="142"/>
      <c r="AE44" s="142"/>
      <c r="AF44" s="142"/>
      <c r="AG44" s="137"/>
      <c r="AH44" s="137"/>
      <c r="AI44" s="137"/>
      <c r="AJ44" s="126"/>
      <c r="AK44" s="142"/>
      <c r="AL44" s="142"/>
      <c r="AM44" s="142"/>
      <c r="AN44" s="1"/>
    </row>
    <row r="45" spans="1:40" ht="15.75" customHeight="1">
      <c r="A45" s="477" t="s">
        <v>887</v>
      </c>
      <c r="B45" s="78">
        <f>+'Tables by type (55-76)'!D51</f>
        <v>6.0705693088861592</v>
      </c>
      <c r="C45" s="78">
        <f>+'Tables by type (55-76)'!D82</f>
        <v>3.9299106267175272</v>
      </c>
      <c r="D45" s="78">
        <f>+'Tables by type (55-76)'!D113</f>
        <v>0</v>
      </c>
      <c r="E45" s="78">
        <f>+'Tables by type (55-76)'!D144</f>
        <v>6.1211715292600637</v>
      </c>
      <c r="F45" s="78">
        <f>+'Tables by type (55-76)'!D174</f>
        <v>8.6856734434561638</v>
      </c>
      <c r="G45" s="78">
        <f>+'Tables by type (55-76)'!D205</f>
        <v>0</v>
      </c>
      <c r="H45" s="146">
        <f>+'Tables by type (55-76)'!D19</f>
        <v>5.5485400202923332</v>
      </c>
      <c r="I45" s="79">
        <f>+'Tables by type (55-76)'!D267</f>
        <v>0</v>
      </c>
      <c r="J45" s="160">
        <f>+'Tables by type (55-76)'!D298</f>
        <v>13.062953314466705</v>
      </c>
      <c r="K45" s="160">
        <f>+'Tables by type (55-76)'!D329</f>
        <v>15.51356808648581</v>
      </c>
      <c r="L45" s="160">
        <f>+'Tables by type (55-76)'!D359</f>
        <v>8.3570923278098128</v>
      </c>
      <c r="M45" s="79">
        <f>+'Tables by type (55-76)'!D236</f>
        <v>14.241046792774853</v>
      </c>
      <c r="N45" s="98">
        <f>+'Tables by type (55-76)'!D420</f>
        <v>0</v>
      </c>
      <c r="O45" s="99">
        <f>+'Tables by type (55-76)'!D450</f>
        <v>0</v>
      </c>
      <c r="P45" s="146">
        <f>+'Tables by type (55-76)'!D390</f>
        <v>0</v>
      </c>
      <c r="Q45" s="8" t="s">
        <v>116</v>
      </c>
      <c r="R45" s="135">
        <f>(GETPIVOTDATA(" Old %UG EL Web",' Pivot Table for Data Exchange'!$A$3,"State","MS","Type2","Four-Year")+GETPIVOTDATA(" Old %UG EL CV",' Pivot Table for Data Exchange'!$A$3,"State","MS","Type2","Four-Year")+GETPIVOTDATA(" Old %UG EL O",' Pivot Table for Data Exchange'!$A$3,"State","MS","Type2","Four-Year"))*100</f>
        <v>5.2295244734562818</v>
      </c>
      <c r="S45" s="135">
        <f>(GETPIVOTDATA(" Old %UG EL Web",' Pivot Table for Data Exchange'!$A$3,"State","MS","Type2","Two-Year")+GETPIVOTDATA(" Old %UG EL CV",' Pivot Table for Data Exchange'!$A$3,"State","MS","Type2","Two-Year")+GETPIVOTDATA(" Old %UG EL O",' Pivot Table for Data Exchange'!$A$3,"State","MS","Type2","Two-Year"))*100</f>
        <v>12.522392858783359</v>
      </c>
      <c r="T45" s="135">
        <f>(GETPIVOTDATA(" Old %UG EL Web",' Pivot Table for Data Exchange'!$A$3,"State","MS","Type2","Technical")+GETPIVOTDATA(" Old %UG EL CV",' Pivot Table for Data Exchange'!$A$3,"State","MS","Type2","Technical")+GETPIVOTDATA(" Old %UG EL O",' Pivot Table for Data Exchange'!$A$3,"State","MS","Type2","Technical"))*100</f>
        <v>0</v>
      </c>
      <c r="U45" s="136">
        <f>IF(R45&gt;0,H45-R45,"—")</f>
        <v>0.31901554683605138</v>
      </c>
      <c r="V45" s="137">
        <f>IF(S45&gt;0,M45-S45,"—")</f>
        <v>1.7186539339914937</v>
      </c>
      <c r="W45" s="137" t="str">
        <f>IF(T45&gt;0,P45-T45,"—")</f>
        <v>—</v>
      </c>
      <c r="X45" s="8" t="s">
        <v>116</v>
      </c>
      <c r="Y45" s="138">
        <f>(GETPIVOTDATA(" New %UG EL Web",' Pivot Table for Data Exchange'!$A$3,"State","MS","Type2","Four-Year")+GETPIVOTDATA(" New %UG EL CV",' Pivot Table for Data Exchange'!$A$3,"State","MS","Type2","Four-Year")+GETPIVOTDATA(" New %UG EL O",' Pivot Table for Data Exchange'!$A$3,"State","MS","Type2","Four-Year"))*100</f>
        <v>5.5485400202923341</v>
      </c>
      <c r="Z45" s="135">
        <f>(GETPIVOTDATA(" New %UG EL Web",' Pivot Table for Data Exchange'!$A$3,"State","MS","Type2","Two-Year")+GETPIVOTDATA(" New %UG EL CV",' Pivot Table for Data Exchange'!$A$3,"State","MS","Type2","Two-Year")+GETPIVOTDATA(" New %UG EL O",' Pivot Table for Data Exchange'!$A$3,"State","MS","Type2","Two-Year"))*100</f>
        <v>14.241046792774853</v>
      </c>
      <c r="AA45" s="135">
        <f>(GETPIVOTDATA(" New %UG EL Web",' Pivot Table for Data Exchange'!$A$3,"State","MS","Type2","Technical")+GETPIVOTDATA(" New %UG EL CV",' Pivot Table for Data Exchange'!$A$3,"State","MS","Type2","Technical")+GETPIVOTDATA(" New %UG EL O",' Pivot Table for Data Exchange'!$A$3,"State","MS","Type2","Technical"))*100</f>
        <v>0</v>
      </c>
      <c r="AC45" s="126"/>
      <c r="AD45" s="142"/>
      <c r="AE45" s="142"/>
      <c r="AF45" s="142"/>
      <c r="AG45" s="137"/>
      <c r="AH45" s="137"/>
      <c r="AI45" s="137"/>
      <c r="AJ45" s="126"/>
      <c r="AK45" s="142"/>
      <c r="AL45" s="142"/>
      <c r="AM45" s="142"/>
      <c r="AN45" s="1"/>
    </row>
    <row r="46" spans="1:40" ht="15.75" customHeight="1">
      <c r="A46" s="8" t="s">
        <v>212</v>
      </c>
      <c r="B46" s="78">
        <f>+'Tables by type (55-76)'!D52</f>
        <v>4.8248706507250603</v>
      </c>
      <c r="C46" s="78">
        <f>+'Tables by type (55-76)'!D83</f>
        <v>5.0308292663229102</v>
      </c>
      <c r="D46" s="78">
        <f>+'Tables by type (55-76)'!D114</f>
        <v>6.762518697804345</v>
      </c>
      <c r="E46" s="78">
        <f>+'Tables by type (55-76)'!D145</f>
        <v>9.9790932441311764</v>
      </c>
      <c r="F46" s="78">
        <f>+'Tables by type (55-76)'!D175</f>
        <v>11.197394550798316</v>
      </c>
      <c r="G46" s="78">
        <f>+'Tables by type (55-76)'!D206</f>
        <v>1.8172634537888019</v>
      </c>
      <c r="H46" s="146">
        <f>+'Tables by type (55-76)'!D20</f>
        <v>6.1646472412970281</v>
      </c>
      <c r="I46" s="79">
        <f>+'Tables by type (55-76)'!D268</f>
        <v>0</v>
      </c>
      <c r="J46" s="78">
        <f>+'Tables by type (55-76)'!D299</f>
        <v>16.916525962322854</v>
      </c>
      <c r="K46" s="78">
        <f>+'Tables by type (55-76)'!D330</f>
        <v>19.108814634779865</v>
      </c>
      <c r="L46" s="78">
        <f>+'Tables by type (55-76)'!D360</f>
        <v>17.131770805206028</v>
      </c>
      <c r="M46" s="79">
        <f>+'Tables by type (55-76)'!D237</f>
        <v>17.953520585836529</v>
      </c>
      <c r="N46" s="98">
        <f>+'Tables by type (55-76)'!D421</f>
        <v>0</v>
      </c>
      <c r="O46" s="99">
        <f>+'Tables by type (55-76)'!D451</f>
        <v>0</v>
      </c>
      <c r="P46" s="146">
        <f>+'Tables by type (55-76)'!D391</f>
        <v>0</v>
      </c>
      <c r="Q46" s="8" t="s">
        <v>212</v>
      </c>
      <c r="R46" s="135">
        <f>(GETPIVOTDATA(" Old %UG EL Web",' Pivot Table for Data Exchange'!$A$3,"State","NC","Type2","Four-Year")+GETPIVOTDATA(" Old %UG EL CV",' Pivot Table for Data Exchange'!$A$3,"State","NC","Type2","Four-Year")+GETPIVOTDATA(" Old %UG EL O",' Pivot Table for Data Exchange'!$A$3,"State","NC","Type2","Four-Year"))*100</f>
        <v>5.2681316993657967</v>
      </c>
      <c r="S46" s="135">
        <f>(GETPIVOTDATA(" Old %UG EL Web",' Pivot Table for Data Exchange'!$A$3,"State","NC","Type2","Two-Year")+GETPIVOTDATA(" Old %UG EL CV",' Pivot Table for Data Exchange'!$A$3,"State","NC","Type2","Two-Year")+GETPIVOTDATA(" Old %UG EL O",' Pivot Table for Data Exchange'!$A$3,"State","NC","Type2","Two-Year"))*100</f>
        <v>14.71863195350767</v>
      </c>
      <c r="T46" s="135">
        <f>(GETPIVOTDATA(" Old %UG EL Web",' Pivot Table for Data Exchange'!$A$3,"State","NC","Type2","Technical")+GETPIVOTDATA(" Old %UG EL CV",' Pivot Table for Data Exchange'!$A$3,"State","NC","Type2","Technical")+GETPIVOTDATA(" Old %UG EL O",' Pivot Table for Data Exchange'!$A$3,"State","NC","Type2","Technical"))*100</f>
        <v>0</v>
      </c>
      <c r="U46" s="587">
        <f>IF(R46&gt;0,H46-R46,"—")</f>
        <v>0.8965155419312314</v>
      </c>
      <c r="V46" s="137">
        <f>IF(S46&gt;0,M46-S46,"—")</f>
        <v>3.2348886323288593</v>
      </c>
      <c r="W46" s="137" t="str">
        <f>IF(T46&gt;0,P46-T46,"—")</f>
        <v>—</v>
      </c>
      <c r="X46" s="8" t="s">
        <v>212</v>
      </c>
      <c r="Y46" s="135">
        <f>(GETPIVOTDATA(" New %UG EL Web",' Pivot Table for Data Exchange'!$A$3,"State","NC","Type2","Four-Year")+GETPIVOTDATA(" New %UG EL CV",' Pivot Table for Data Exchange'!$A$3,"State","NC","Type2","Four-Year")+GETPIVOTDATA(" New %UG EL O",' Pivot Table for Data Exchange'!$A$3,"State","NC","Type2","Four-Year"))*100</f>
        <v>6.1646472412970272</v>
      </c>
      <c r="Z46" s="135">
        <f>(GETPIVOTDATA(" New %UG EL Web",' Pivot Table for Data Exchange'!$A$3,"State","NC","Type2","Two-Year")+GETPIVOTDATA(" New %UG EL CV",' Pivot Table for Data Exchange'!$A$3,"State","NC","Type2","Two-Year")+GETPIVOTDATA(" New %UG EL O",' Pivot Table for Data Exchange'!$A$3,"State","NC","Type2","Two-Year"))*100</f>
        <v>17.953520585836529</v>
      </c>
      <c r="AA46" s="135">
        <f>(GETPIVOTDATA(" New %UG EL Web",' Pivot Table for Data Exchange'!$A$3,"State","NC","Type2","Technical")+GETPIVOTDATA(" New %UG EL CV",' Pivot Table for Data Exchange'!$A$3,"State","NC","Type2","Technical")+GETPIVOTDATA(" New %UG EL O",' Pivot Table for Data Exchange'!$A$3,"State","NC","Type2","Technical"))*100</f>
        <v>0</v>
      </c>
      <c r="AC46" s="126"/>
      <c r="AD46" s="142"/>
      <c r="AE46" s="142"/>
      <c r="AF46" s="142"/>
      <c r="AG46" s="137"/>
      <c r="AH46" s="137"/>
      <c r="AI46" s="137"/>
      <c r="AJ46" s="126"/>
      <c r="AK46" s="142"/>
      <c r="AL46" s="142"/>
      <c r="AM46" s="142"/>
      <c r="AN46" s="1"/>
    </row>
    <row r="47" spans="1:40" ht="15.75" customHeight="1">
      <c r="A47" s="8" t="s">
        <v>205</v>
      </c>
      <c r="B47" s="78">
        <f>+'Tables by type (55-76)'!D53</f>
        <v>5.1849795842577322</v>
      </c>
      <c r="C47" s="78">
        <f>+'Tables by type (55-76)'!D84</f>
        <v>0</v>
      </c>
      <c r="D47" s="78">
        <f>+'Tables by type (55-76)'!D115</f>
        <v>6.0708101392136333</v>
      </c>
      <c r="E47" s="78">
        <f>+'Tables by type (55-76)'!D146</f>
        <v>0</v>
      </c>
      <c r="F47" s="78">
        <f>+'Tables by type (55-76)'!D176</f>
        <v>13.982153259545623</v>
      </c>
      <c r="G47" s="78">
        <f>+'Tables by type (55-76)'!D207</f>
        <v>19.86846427685521</v>
      </c>
      <c r="H47" s="146">
        <f>+'Tables by type (55-76)'!D21</f>
        <v>8.466263243507802</v>
      </c>
      <c r="I47" s="79">
        <f>+'Tables by type (55-76)'!D269</f>
        <v>0</v>
      </c>
      <c r="J47" s="78">
        <f>+'Tables by type (55-76)'!D300</f>
        <v>18.518090114788539</v>
      </c>
      <c r="K47" s="78">
        <f>+'Tables by type (55-76)'!D331</f>
        <v>19.373608538857557</v>
      </c>
      <c r="L47" s="78">
        <f>+'Tables by type (55-76)'!D361</f>
        <v>21.197092305582228</v>
      </c>
      <c r="M47" s="79">
        <f>+'Tables by type (55-76)'!D238</f>
        <v>18.267444487454188</v>
      </c>
      <c r="N47" s="98">
        <f>+'Tables by type (55-76)'!D422</f>
        <v>0</v>
      </c>
      <c r="O47" s="99">
        <f>+'Tables by type (55-76)'!D452</f>
        <v>0</v>
      </c>
      <c r="P47" s="146">
        <f>+'Tables by type (55-76)'!D392</f>
        <v>0</v>
      </c>
      <c r="Q47" s="8" t="s">
        <v>205</v>
      </c>
      <c r="R47" s="135">
        <f>(GETPIVOTDATA(" Old %UG EL Web",' Pivot Table for Data Exchange'!$A$3,"State","OK","Type2","Four-Year")+GETPIVOTDATA(" Old %UG EL CV",' Pivot Table for Data Exchange'!$A$3,"State","OK","Type2","Four-Year")+GETPIVOTDATA(" Old %UG EL O",' Pivot Table for Data Exchange'!$A$3,"State","OK","Type2","Four-Year"))*100</f>
        <v>7.3579704654682709</v>
      </c>
      <c r="S47" s="135">
        <f>(GETPIVOTDATA(" Old %UG EL Web",' Pivot Table for Data Exchange'!$A$3,"State","OK","Type2","Two-Year")+GETPIVOTDATA(" Old %UG EL CV",' Pivot Table for Data Exchange'!$A$3,"State","OK","Type2","Two-Year")+GETPIVOTDATA(" Old %UG EL O",' Pivot Table for Data Exchange'!$A$3,"State","OK","Type2","Two-Year"))*100</f>
        <v>16.827096729580752</v>
      </c>
      <c r="T47" s="135">
        <f>(GETPIVOTDATA(" Old %UG EL Web",' Pivot Table for Data Exchange'!$A$3,"State","OK","Type2","Technical")+GETPIVOTDATA(" Old %UG EL CV",' Pivot Table for Data Exchange'!$A$3,"State","OK","Type2","Technical")+GETPIVOTDATA(" Old %UG EL O",' Pivot Table for Data Exchange'!$A$3,"State","OK","Type2","Technical"))*100</f>
        <v>0</v>
      </c>
      <c r="U47" s="136">
        <f>IF(R47&gt;0,H47-R47,"—")</f>
        <v>1.1082927780395311</v>
      </c>
      <c r="V47" s="137">
        <f>IF(S47&gt;0,M47-S47,"—")</f>
        <v>1.4403477578734361</v>
      </c>
      <c r="W47" s="137" t="str">
        <f>IF(T47&gt;0,P47-T47,"—")</f>
        <v>—</v>
      </c>
      <c r="X47" s="8" t="s">
        <v>205</v>
      </c>
      <c r="Y47" s="138">
        <f>(GETPIVOTDATA(" New %UG EL Web",' Pivot Table for Data Exchange'!$A$3,"State","OK","Type2","Four-Year")+GETPIVOTDATA(" New %UG EL CV",' Pivot Table for Data Exchange'!$A$3,"State","OK","Type2","Four-Year")+GETPIVOTDATA(" New %UG EL O",' Pivot Table for Data Exchange'!$A$3,"State","OK","Type2","Four-Year"))*100</f>
        <v>8.466263243507802</v>
      </c>
      <c r="Z47" s="135">
        <f>(GETPIVOTDATA(" New %UG EL Web",' Pivot Table for Data Exchange'!$A$3,"State","OK","Type2","Two-Year")+GETPIVOTDATA(" New %UG EL CV",' Pivot Table for Data Exchange'!$A$3,"State","OK","Type2","Two-Year")+GETPIVOTDATA(" New %UG EL O",' Pivot Table for Data Exchange'!$A$3,"State","OK","Type2","Two-Year"))*100</f>
        <v>18.267444487454188</v>
      </c>
      <c r="AA47" s="135">
        <f>(GETPIVOTDATA(" New %UG EL Web",' Pivot Table for Data Exchange'!$A$3,"State","OK","Type2","Technical")+GETPIVOTDATA(" New %UG EL CV",' Pivot Table for Data Exchange'!$A$3,"State","OK","Type2","Technical")+GETPIVOTDATA(" New %UG EL O",' Pivot Table for Data Exchange'!$A$3,"State","OK","Type2","Technical"))*100</f>
        <v>0</v>
      </c>
      <c r="AC47" s="126"/>
      <c r="AD47" s="142"/>
      <c r="AE47" s="142"/>
      <c r="AF47" s="142"/>
      <c r="AG47" s="137"/>
      <c r="AH47" s="137"/>
      <c r="AI47" s="137"/>
      <c r="AJ47" s="126"/>
      <c r="AK47" s="142"/>
      <c r="AL47" s="142"/>
      <c r="AM47" s="142"/>
      <c r="AN47" s="1"/>
    </row>
    <row r="48" spans="1:40" ht="15.75" customHeight="1">
      <c r="A48" s="8" t="s">
        <v>228</v>
      </c>
      <c r="B48" s="78">
        <f>+'Tables by type (55-76)'!D54</f>
        <v>2.7449140723831356</v>
      </c>
      <c r="C48" s="78">
        <f>+'Tables by type (55-76)'!D85</f>
        <v>0</v>
      </c>
      <c r="D48" s="78">
        <f>+'Tables by type (55-76)'!D116</f>
        <v>0</v>
      </c>
      <c r="E48" s="78">
        <f>+'Tables by type (55-76)'!D147</f>
        <v>0.1250199173887997</v>
      </c>
      <c r="F48" s="78">
        <f>+'Tables by type (55-76)'!D177</f>
        <v>1.7016364068455243</v>
      </c>
      <c r="G48" s="78">
        <f>+'Tables by type (55-76)'!D208</f>
        <v>0.29602855051244509</v>
      </c>
      <c r="H48" s="146">
        <f>+'Tables by type (55-76)'!D22</f>
        <v>1.6564235879660489</v>
      </c>
      <c r="I48" s="79">
        <f>+'Tables by type (55-76)'!D270</f>
        <v>3.2846203472553364</v>
      </c>
      <c r="J48" s="78">
        <f>+'Tables by type (55-76)'!D301</f>
        <v>15.857056076699642</v>
      </c>
      <c r="K48" s="78">
        <f>+'Tables by type (55-76)'!D332</f>
        <v>16.592956348632349</v>
      </c>
      <c r="L48" s="78">
        <f>+'Tables by type (55-76)'!D362</f>
        <v>8.3181326460574976</v>
      </c>
      <c r="M48" s="79">
        <f>+'Tables by type (55-76)'!D239</f>
        <v>15.218437592615471</v>
      </c>
      <c r="N48" s="98">
        <f>+'Tables by type (55-76)'!D423</f>
        <v>0</v>
      </c>
      <c r="O48" s="99">
        <f>+'Tables by type (55-76)'!D453</f>
        <v>0</v>
      </c>
      <c r="P48" s="146">
        <f>+'Tables by type (55-76)'!D393</f>
        <v>0</v>
      </c>
      <c r="Q48" s="8" t="s">
        <v>228</v>
      </c>
      <c r="R48" s="135">
        <f>(GETPIVOTDATA(" Old %UG EL Web",' Pivot Table for Data Exchange'!$A$3,"State","SC","Type2","Four-Year")+GETPIVOTDATA(" Old %UG EL CV",' Pivot Table for Data Exchange'!$A$3,"State","SC","Type2","Four-Year")+GETPIVOTDATA(" Old %UG EL O",' Pivot Table for Data Exchange'!$A$3,"State","SC","Type2","Four-Year"))*100</f>
        <v>1.2008865954388821</v>
      </c>
      <c r="S48" s="135">
        <f>(GETPIVOTDATA(" Old %UG EL Web",' Pivot Table for Data Exchange'!$A$3,"State","SC","Type2","Two-Year")+GETPIVOTDATA(" Old %UG EL CV",' Pivot Table for Data Exchange'!$A$3,"State","SC","Type2","Two-Year")+GETPIVOTDATA(" Old %UG EL O",' Pivot Table for Data Exchange'!$A$3,"State","SC","Type2","Two-Year"))*100</f>
        <v>3.5433950597759161</v>
      </c>
      <c r="T48" s="135">
        <f>(GETPIVOTDATA(" Old %UG EL Web",' Pivot Table for Data Exchange'!$A$3,"State","SC","Type2","Technical")+GETPIVOTDATA(" Old %UG EL CV",' Pivot Table for Data Exchange'!$A$3,"State","SC","Type2","Technical")+GETPIVOTDATA(" Old %UG EL O",' Pivot Table for Data Exchange'!$A$3,"State","SC","Type2","Technical"))*100</f>
        <v>0</v>
      </c>
      <c r="U48" s="136">
        <f>IF(R48&gt;0,H48-R48,"—")</f>
        <v>0.45553699252716684</v>
      </c>
      <c r="V48" s="137">
        <f>IF(S48&gt;0,M48-S48,"—")</f>
        <v>11.675042532839555</v>
      </c>
      <c r="W48" s="137" t="str">
        <f>IF(T48&gt;0,P48-T48,"—")</f>
        <v>—</v>
      </c>
      <c r="X48" s="8" t="s">
        <v>228</v>
      </c>
      <c r="Y48" s="138">
        <f>(GETPIVOTDATA(" New %UG EL Web",' Pivot Table for Data Exchange'!$A$3,"State","SC","Type2","Four-Year")+GETPIVOTDATA(" New %UG EL CV",' Pivot Table for Data Exchange'!$A$3,"State","SC","Type2","Four-Year")+GETPIVOTDATA(" New %UG EL O",' Pivot Table for Data Exchange'!$A$3,"State","SC","Type2","Four-Year"))*100</f>
        <v>1.6564235879660487</v>
      </c>
      <c r="Z48" s="135">
        <f>(GETPIVOTDATA(" New %UG EL Web",' Pivot Table for Data Exchange'!$A$3,"State","SC","Type2","Two-Year")+GETPIVOTDATA(" New %UG EL CV",' Pivot Table for Data Exchange'!$A$3,"State","SC","Type2","Two-Year")+GETPIVOTDATA(" New %UG EL O",' Pivot Table for Data Exchange'!$A$3,"State","SC","Type2","Two-Year"))*100</f>
        <v>15.218437592615471</v>
      </c>
      <c r="AA48" s="135">
        <f>(GETPIVOTDATA(" New %UG EL Web",' Pivot Table for Data Exchange'!$A$3,"State","SC","Type2","Technical")+GETPIVOTDATA(" New %UG EL CV",' Pivot Table for Data Exchange'!$A$3,"State","SC","Type2","Technical")+GETPIVOTDATA(" New %UG EL O",' Pivot Table for Data Exchange'!$A$3,"State","SC","Type2","Technical"))*100</f>
        <v>0</v>
      </c>
      <c r="AC48" s="1"/>
      <c r="AD48" s="1"/>
      <c r="AE48" s="1"/>
      <c r="AF48" s="1"/>
      <c r="AG48" s="1"/>
      <c r="AH48" s="1"/>
      <c r="AI48" s="1"/>
      <c r="AJ48" s="1"/>
      <c r="AK48" s="1"/>
      <c r="AL48" s="1"/>
      <c r="AM48" s="1"/>
      <c r="AN48" s="1"/>
    </row>
    <row r="49" spans="1:40" ht="15.75" customHeight="1">
      <c r="H49" s="146"/>
      <c r="I49" s="79"/>
      <c r="M49" s="79"/>
      <c r="N49" s="98"/>
      <c r="O49" s="99"/>
      <c r="P49" s="146"/>
      <c r="AC49" s="1"/>
      <c r="AD49" s="1"/>
      <c r="AE49" s="1"/>
      <c r="AF49" s="1"/>
      <c r="AG49" s="1"/>
      <c r="AH49" s="1"/>
      <c r="AI49" s="1"/>
      <c r="AJ49" s="1"/>
      <c r="AK49" s="1"/>
      <c r="AL49" s="1"/>
      <c r="AM49" s="1"/>
      <c r="AN49" s="1"/>
    </row>
    <row r="50" spans="1:40" ht="15.75" customHeight="1">
      <c r="A50" s="8" t="s">
        <v>229</v>
      </c>
      <c r="B50" s="78">
        <f>+'Tables by type (55-76)'!D56</f>
        <v>13.478834913938847</v>
      </c>
      <c r="C50" s="78">
        <f>+'Tables by type (55-76)'!D87</f>
        <v>9.3900179311135989</v>
      </c>
      <c r="D50" s="78">
        <f>+'Tables by type (55-76)'!D118</f>
        <v>9.5856107712365866</v>
      </c>
      <c r="E50" s="78">
        <f>+'Tables by type (55-76)'!D149</f>
        <v>18.691652346601497</v>
      </c>
      <c r="F50" s="78">
        <f>+'Tables by type (55-76)'!D179</f>
        <v>4.195186934107352</v>
      </c>
      <c r="G50" s="78">
        <f>+'Tables by type (55-76)'!D210</f>
        <v>0</v>
      </c>
      <c r="H50" s="146">
        <f>+'Tables by type (55-76)'!D24</f>
        <v>11.418939183826037</v>
      </c>
      <c r="I50" s="79">
        <f>+'Tables by type (55-76)'!D272</f>
        <v>0</v>
      </c>
      <c r="J50" s="78">
        <f>+'Tables by type (55-76)'!D303</f>
        <v>14.354444711825614</v>
      </c>
      <c r="K50" s="78">
        <f>+'Tables by type (55-76)'!D334</f>
        <v>20.644761695135621</v>
      </c>
      <c r="L50" s="78">
        <f>+'Tables by type (55-76)'!D364</f>
        <v>21.902526095223312</v>
      </c>
      <c r="M50" s="79">
        <f>+'Tables by type (55-76)'!D241</f>
        <v>18.422671604950573</v>
      </c>
      <c r="N50" s="98">
        <f>+'Tables by type (55-76)'!D425</f>
        <v>0</v>
      </c>
      <c r="O50" s="99">
        <f>+'Tables by type (55-76)'!D455</f>
        <v>0</v>
      </c>
      <c r="P50" s="146">
        <f>+'Tables by type (55-76)'!D395</f>
        <v>0</v>
      </c>
      <c r="Q50" s="8" t="s">
        <v>229</v>
      </c>
      <c r="R50" s="135">
        <f>(GETPIVOTDATA(" Old %UG EL Web",' Pivot Table for Data Exchange'!$A$3,"State","TN","Type2","Four-Year")+GETPIVOTDATA(" Old %UG EL CV",' Pivot Table for Data Exchange'!$A$3,"State","TN","Type2","Four-Year")+GETPIVOTDATA(" Old %UG EL O",' Pivot Table for Data Exchange'!$A$3,"State","TN","Type2","Four-Year"))*100</f>
        <v>0</v>
      </c>
      <c r="S50" s="135">
        <f>(GETPIVOTDATA(" Old %UG EL Web",' Pivot Table for Data Exchange'!$A$3,"State","TN","Type2","Two-Year")+GETPIVOTDATA(" Old %UG EL CV",' Pivot Table for Data Exchange'!$A$3,"State","TN","Type2","Two-Year")+GETPIVOTDATA(" Old %UG EL O",' Pivot Table for Data Exchange'!$A$3,"State","TN","Type2","Two-Year"))*100</f>
        <v>0</v>
      </c>
      <c r="T50" s="135">
        <f>(GETPIVOTDATA(" Old %UG EL Web",' Pivot Table for Data Exchange'!$A$3,"State","TN","Type2","Technical")+GETPIVOTDATA(" Old %UG EL CV",' Pivot Table for Data Exchange'!$A$3,"State","TN","Type2","Technical")+GETPIVOTDATA(" Old %UG EL O",' Pivot Table for Data Exchange'!$A$3,"State","TN","Type2","Technical"))*100</f>
        <v>0</v>
      </c>
      <c r="U50" s="136" t="str">
        <f>IF(R50&gt;0,H50-R50,"—")</f>
        <v>—</v>
      </c>
      <c r="V50" s="137" t="str">
        <f>IF(S50&gt;0,M50-S50,"—")</f>
        <v>—</v>
      </c>
      <c r="W50" s="137" t="str">
        <f>IF(T50&gt;0,P50-T50,"—")</f>
        <v>—</v>
      </c>
      <c r="X50" s="8" t="s">
        <v>229</v>
      </c>
      <c r="Y50" s="138">
        <f>(GETPIVOTDATA(" New %UG EL Web",' Pivot Table for Data Exchange'!$A$3,"State","TN","Type2","Four-Year")+GETPIVOTDATA(" New %UG EL CV",' Pivot Table for Data Exchange'!$A$3,"State","TN","Type2","Four-Year")+GETPIVOTDATA(" New %UG EL O",' Pivot Table for Data Exchange'!$A$3,"State","TN","Type2","Four-Year"))*100</f>
        <v>11.418939183826037</v>
      </c>
      <c r="Z50" s="135">
        <f>(GETPIVOTDATA(" New %UG EL Web",' Pivot Table for Data Exchange'!$A$3,"State","TN","Type2","Two-Year")+GETPIVOTDATA(" New %UG EL CV",' Pivot Table for Data Exchange'!$A$3,"State","TN","Type2","Two-Year")+GETPIVOTDATA(" New %UG EL O",' Pivot Table for Data Exchange'!$A$3,"State","TN","Type2","Two-Year"))*100</f>
        <v>18.422671604950573</v>
      </c>
      <c r="AA50" s="135">
        <f>(GETPIVOTDATA(" New %UG EL Web",' Pivot Table for Data Exchange'!$A$3,"State","TN","Type2","Technical")+GETPIVOTDATA(" New %UG EL CV",' Pivot Table for Data Exchange'!$A$3,"State","TN","Type2","Technical")+GETPIVOTDATA(" New %UG EL O",' Pivot Table for Data Exchange'!$A$3,"State","TN","Type2","Technical"))*100</f>
        <v>0</v>
      </c>
      <c r="AC50" s="1"/>
      <c r="AD50" s="1"/>
      <c r="AE50" s="1"/>
      <c r="AF50" s="1"/>
      <c r="AG50" s="1"/>
      <c r="AH50" s="1"/>
      <c r="AI50" s="1"/>
      <c r="AJ50" s="1"/>
      <c r="AK50" s="1"/>
      <c r="AL50" s="1"/>
      <c r="AM50" s="1"/>
      <c r="AN50" s="1"/>
    </row>
    <row r="51" spans="1:40" s="41" customFormat="1" ht="16.5" customHeight="1">
      <c r="A51" s="8" t="s">
        <v>213</v>
      </c>
      <c r="B51" s="78">
        <f>+'Tables by type (55-76)'!D57</f>
        <v>4.9589091480698757</v>
      </c>
      <c r="C51" s="78">
        <f>+'Tables by type (55-76)'!D88</f>
        <v>7.6834577740210781</v>
      </c>
      <c r="D51" s="78">
        <f>+'Tables by type (55-76)'!D119</f>
        <v>4.3419811315237729</v>
      </c>
      <c r="E51" s="78">
        <f>+'Tables by type (55-76)'!D150</f>
        <v>10.651160852565127</v>
      </c>
      <c r="F51" s="78">
        <f>+'Tables by type (55-76)'!D180</f>
        <v>17.718037847400485</v>
      </c>
      <c r="G51" s="78">
        <f>+'Tables by type (55-76)'!D211</f>
        <v>0</v>
      </c>
      <c r="H51" s="146">
        <f>+'Tables by type (55-76)'!D25</f>
        <v>5.3740645615184821</v>
      </c>
      <c r="I51" s="79">
        <f>+'Tables by type (55-76)'!D273</f>
        <v>0</v>
      </c>
      <c r="J51" s="78">
        <f>+'Tables by type (55-76)'!D304</f>
        <v>14.841571455181983</v>
      </c>
      <c r="K51" s="78">
        <f>+'Tables by type (55-76)'!D335</f>
        <v>15.47089011997417</v>
      </c>
      <c r="L51" s="78">
        <f>+'Tables by type (55-76)'!D365</f>
        <v>20.638395173083214</v>
      </c>
      <c r="M51" s="79">
        <f>+'Tables by type (55-76)'!D242</f>
        <v>15.256627357621268</v>
      </c>
      <c r="N51" s="98">
        <f>+'Tables by type (55-76)'!D426</f>
        <v>0</v>
      </c>
      <c r="O51" s="99">
        <f>+'Tables by type (55-76)'!D456</f>
        <v>0</v>
      </c>
      <c r="P51" s="146">
        <f>+'Tables by type (55-76)'!D396</f>
        <v>0</v>
      </c>
      <c r="Q51" s="8" t="s">
        <v>213</v>
      </c>
      <c r="R51" s="135">
        <f>(GETPIVOTDATA(" Old %UG EL Web",' Pivot Table for Data Exchange'!$A$3,"State","TX","Type2","Four-Year")+GETPIVOTDATA(" Old %UG EL CV",' Pivot Table for Data Exchange'!$A$3,"State","TX","Type2","Four-Year")+GETPIVOTDATA(" Old %UG EL O",' Pivot Table for Data Exchange'!$A$3,"State","TX","Type2","Four-Year"))*100</f>
        <v>4.7702541708081387</v>
      </c>
      <c r="S51" s="135">
        <f>(GETPIVOTDATA(" Old %UG EL Web",' Pivot Table for Data Exchange'!$A$3,"State","TX","Type2","Two-Year")+GETPIVOTDATA(" Old %UG EL CV",' Pivot Table for Data Exchange'!$A$3,"State","TX","Type2","Two-Year")+GETPIVOTDATA(" Old %UG EL O",' Pivot Table for Data Exchange'!$A$3,"State","TX","Type2","Two-Year"))*100</f>
        <v>13.19931100749902</v>
      </c>
      <c r="T51" s="135">
        <f>(GETPIVOTDATA(" Old %UG EL Web",' Pivot Table for Data Exchange'!$A$3,"State","TX","Type2","Technical")+GETPIVOTDATA(" Old %UG EL CV",' Pivot Table for Data Exchange'!$A$3,"State","TX","Type2","Technical")+GETPIVOTDATA(" Old %UG EL O",' Pivot Table for Data Exchange'!$A$3,"State","TX","Type2","Technical"))*100</f>
        <v>0</v>
      </c>
      <c r="U51" s="136">
        <f>IF(R51&gt;0,H51-R51,"—")</f>
        <v>0.60381039071034337</v>
      </c>
      <c r="V51" s="137">
        <f>IF(S51&gt;0,M51-S51,"—")</f>
        <v>2.0573163501222478</v>
      </c>
      <c r="W51" s="137" t="str">
        <f>IF(T51&gt;0,P51-T51,"—")</f>
        <v>—</v>
      </c>
      <c r="X51" s="8" t="s">
        <v>213</v>
      </c>
      <c r="Y51" s="138">
        <f>(GETPIVOTDATA(" New %UG EL Web",' Pivot Table for Data Exchange'!$A$3,"State","TX","Type2","Four-Year")+GETPIVOTDATA(" New %UG EL CV",' Pivot Table for Data Exchange'!$A$3,"State","TX","Type2","Four-Year")+GETPIVOTDATA(" New %UG EL O",' Pivot Table for Data Exchange'!$A$3,"State","TX","Type2","Four-Year"))*100</f>
        <v>5.3740645615184821</v>
      </c>
      <c r="Z51" s="135">
        <f>(GETPIVOTDATA(" New %UG EL Web",' Pivot Table for Data Exchange'!$A$3,"State","TX","Type2","Two-Year")+GETPIVOTDATA(" New %UG EL CV",' Pivot Table for Data Exchange'!$A$3,"State","TX","Type2","Two-Year")+GETPIVOTDATA(" New %UG EL O",' Pivot Table for Data Exchange'!$A$3,"State","TX","Type2","Two-Year"))*100</f>
        <v>15.256627357621269</v>
      </c>
      <c r="AA51" s="135">
        <f>(GETPIVOTDATA(" New %UG EL Web",' Pivot Table for Data Exchange'!$A$3,"State","TX","Type2","Technical")+GETPIVOTDATA(" New %UG EL CV",' Pivot Table for Data Exchange'!$A$3,"State","TX","Type2","Technical")+GETPIVOTDATA(" New %UG EL O",' Pivot Table for Data Exchange'!$A$3,"State","TX","Type2","Technical"))*100</f>
        <v>0</v>
      </c>
      <c r="AB51"/>
      <c r="AC51"/>
      <c r="AD51"/>
      <c r="AE51"/>
      <c r="AF51"/>
      <c r="AG51"/>
      <c r="AH51"/>
      <c r="AI51"/>
      <c r="AJ51"/>
      <c r="AK51"/>
      <c r="AL51"/>
      <c r="AM51"/>
      <c r="AN51"/>
    </row>
    <row r="52" spans="1:40" s="41" customFormat="1" ht="14.25" customHeight="1">
      <c r="A52" s="8" t="s">
        <v>230</v>
      </c>
      <c r="B52" s="78">
        <f>+'Tables by type (55-76)'!D58</f>
        <v>0</v>
      </c>
      <c r="C52" s="78">
        <f>+'Tables by type (55-76)'!D89</f>
        <v>0</v>
      </c>
      <c r="D52" s="78">
        <f>+'Tables by type (55-76)'!D120</f>
        <v>0</v>
      </c>
      <c r="E52" s="78">
        <f>+'Tables by type (55-76)'!D151</f>
        <v>0</v>
      </c>
      <c r="F52" s="78">
        <f>+'Tables by type (55-76)'!D181</f>
        <v>0</v>
      </c>
      <c r="G52" s="78">
        <f>+'Tables by type (55-76)'!D212</f>
        <v>0</v>
      </c>
      <c r="H52" s="146">
        <f>+'Tables by type (55-76)'!D26</f>
        <v>0</v>
      </c>
      <c r="I52" s="79">
        <f>+'Tables by type (55-76)'!D274</f>
        <v>0</v>
      </c>
      <c r="J52" s="78">
        <f>+'Tables by type (55-76)'!D305</f>
        <v>0</v>
      </c>
      <c r="K52" s="78">
        <f>+'Tables by type (55-76)'!D336</f>
        <v>0</v>
      </c>
      <c r="L52" s="78">
        <f>+'Tables by type (55-76)'!D366</f>
        <v>0</v>
      </c>
      <c r="M52" s="79">
        <f>+'Tables by type (55-76)'!D243</f>
        <v>0</v>
      </c>
      <c r="N52" s="98">
        <f>+'Tables by type (55-76)'!D427</f>
        <v>0</v>
      </c>
      <c r="O52" s="99">
        <f>+'Tables by type (55-76)'!D457</f>
        <v>0</v>
      </c>
      <c r="P52" s="146">
        <f>+'Tables by type (55-76)'!D397</f>
        <v>0</v>
      </c>
      <c r="Q52" s="8" t="s">
        <v>230</v>
      </c>
      <c r="R52" s="135">
        <f>(GETPIVOTDATA(" Old %UG EL Web",' Pivot Table for Data Exchange'!$A$3,"State","VA","Type2","Four-Year")+GETPIVOTDATA(" Old %UG EL CV",' Pivot Table for Data Exchange'!$A$3,"State","VA","Type2","Four-Year")+GETPIVOTDATA(" Old %UG EL O",' Pivot Table for Data Exchange'!$A$3,"State","VA","Type2","Four-Year"))*100</f>
        <v>0</v>
      </c>
      <c r="S52" s="135">
        <f>(GETPIVOTDATA(" Old %UG EL Web",' Pivot Table for Data Exchange'!$A$3,"State","VA","Type2","Two-Year")+GETPIVOTDATA(" Old %UG EL CV",' Pivot Table for Data Exchange'!$A$3,"State","VA","Type2","Two-Year")+GETPIVOTDATA(" Old %UG EL O",' Pivot Table for Data Exchange'!$A$3,"State","VA","Type2","Two-Year"))*100</f>
        <v>0</v>
      </c>
      <c r="T52" s="135">
        <f>(GETPIVOTDATA(" Old %UG EL Web",' Pivot Table for Data Exchange'!$A$3,"State","VA","Type2","Technical")+GETPIVOTDATA(" Old %UG EL CV",' Pivot Table for Data Exchange'!$A$3,"State","VA","Type2","Technical")+GETPIVOTDATA(" Old %UG EL O",' Pivot Table for Data Exchange'!$A$3,"State","VA","Type2","Technical"))*100</f>
        <v>0</v>
      </c>
      <c r="U52" s="587" t="str">
        <f>IF(R52&gt;0,H52-R52,"—")</f>
        <v>—</v>
      </c>
      <c r="V52" s="137" t="str">
        <f>IF(S52&gt;0,M52-S52,"—")</f>
        <v>—</v>
      </c>
      <c r="W52" s="137" t="str">
        <f>IF(T52&gt;0,P52-T52,"—")</f>
        <v>—</v>
      </c>
      <c r="X52" s="8" t="s">
        <v>230</v>
      </c>
      <c r="Y52" s="135">
        <f>(GETPIVOTDATA(" New %UG EL Web",' Pivot Table for Data Exchange'!$A$3,"State","VA","Type2","Four-Year")+GETPIVOTDATA(" New %UG EL CV",' Pivot Table for Data Exchange'!$A$3,"State","VA","Type2","Four-Year")+GETPIVOTDATA(" New %UG EL O",' Pivot Table for Data Exchange'!$A$3,"State","VA","Type2","Four-Year"))*100</f>
        <v>0</v>
      </c>
      <c r="Z52" s="135">
        <f>(GETPIVOTDATA(" New %UG EL Web",' Pivot Table for Data Exchange'!$A$3,"State","VA","Type2","Two-Year")+GETPIVOTDATA(" New %UG EL CV",' Pivot Table for Data Exchange'!$A$3,"State","VA","Type2","Two-Year")+GETPIVOTDATA(" New %UG EL O",' Pivot Table for Data Exchange'!$A$3,"State","VA","Type2","Two-Year"))*100</f>
        <v>0</v>
      </c>
      <c r="AA52" s="135">
        <f>(GETPIVOTDATA(" New %UG EL Web",' Pivot Table for Data Exchange'!$A$3,"State","VA","Type2","Technical")+GETPIVOTDATA(" New %UG EL CV",' Pivot Table for Data Exchange'!$A$3,"State","VA","Type2","Technical")+GETPIVOTDATA(" New %UG EL O",' Pivot Table for Data Exchange'!$A$3,"State","VA","Type2","Technical"))*100</f>
        <v>0</v>
      </c>
      <c r="AB52"/>
      <c r="AC52"/>
      <c r="AD52"/>
      <c r="AE52"/>
      <c r="AF52"/>
      <c r="AG52"/>
      <c r="AH52"/>
      <c r="AI52"/>
      <c r="AJ52"/>
      <c r="AK52"/>
      <c r="AL52"/>
      <c r="AM52"/>
      <c r="AN52"/>
    </row>
    <row r="53" spans="1:40" s="41" customFormat="1" ht="15" customHeight="1">
      <c r="A53" s="8" t="s">
        <v>206</v>
      </c>
      <c r="B53" s="78">
        <f>+'Tables by type (55-76)'!D59</f>
        <v>4.9583035314275827</v>
      </c>
      <c r="C53" s="78">
        <f>+'Tables by type (55-76)'!D90</f>
        <v>0</v>
      </c>
      <c r="D53" s="78">
        <f>+'Tables by type (55-76)'!D121</f>
        <v>11.833813610310649</v>
      </c>
      <c r="E53" s="78">
        <f>+'Tables by type (55-76)'!D152</f>
        <v>0</v>
      </c>
      <c r="F53" s="78">
        <f>+'Tables by type (55-76)'!D182</f>
        <v>0</v>
      </c>
      <c r="G53" s="78">
        <f>+'Tables by type (55-76)'!D213</f>
        <v>6.233834992612838</v>
      </c>
      <c r="H53" s="146">
        <f>+'Tables by type (55-76)'!D27</f>
        <v>6.6505278498192162</v>
      </c>
      <c r="I53" s="79">
        <f>+'Tables by type (55-76)'!D275</f>
        <v>20.7107129703335</v>
      </c>
      <c r="J53" s="78">
        <f>+'Tables by type (55-76)'!D306</f>
        <v>0</v>
      </c>
      <c r="K53" s="78">
        <f>+'Tables by type (55-76)'!D337</f>
        <v>9.4885838253076322</v>
      </c>
      <c r="L53" s="78">
        <f>+'Tables by type (55-76)'!D367</f>
        <v>14.804015871107371</v>
      </c>
      <c r="M53" s="79">
        <f>+'Tables by type (55-76)'!D244</f>
        <v>15.94548375395139</v>
      </c>
      <c r="N53" s="98">
        <f>+'Tables by type (55-76)'!D428</f>
        <v>0</v>
      </c>
      <c r="O53" s="99">
        <f>+'Tables by type (55-76)'!D458</f>
        <v>0</v>
      </c>
      <c r="P53" s="146">
        <f>+'Tables by type (55-76)'!D398</f>
        <v>0</v>
      </c>
      <c r="Q53" s="8" t="s">
        <v>206</v>
      </c>
      <c r="R53" s="135">
        <f>(GETPIVOTDATA(" Old %UG EL Web",' Pivot Table for Data Exchange'!$A$3,"State","WV","Type2","Four-Year")+GETPIVOTDATA(" Old %UG EL CV",' Pivot Table for Data Exchange'!$A$3,"State","WV","Type2","Four-Year")+GETPIVOTDATA(" Old %UG EL O",' Pivot Table for Data Exchange'!$A$3,"State","WV","Type2","Four-Year"))*100</f>
        <v>5.875376257940899</v>
      </c>
      <c r="S53" s="135">
        <f>(GETPIVOTDATA(" Old %UG EL Web",' Pivot Table for Data Exchange'!$A$3,"State","WV","Type2","Two-Year")+GETPIVOTDATA(" Old %UG EL CV",' Pivot Table for Data Exchange'!$A$3,"State","WV","Type2","Two-Year")+GETPIVOTDATA(" Old %UG EL O",' Pivot Table for Data Exchange'!$A$3,"State","WV","Type2","Two-Year"))*100</f>
        <v>13.545051348338591</v>
      </c>
      <c r="T53" s="135">
        <f>(GETPIVOTDATA(" Old %UG EL Web",' Pivot Table for Data Exchange'!$A$3,"State","WV","Type2","Technical")+GETPIVOTDATA(" Old %UG EL CV",' Pivot Table for Data Exchange'!$A$3,"State","WV","Type2","Technical")+GETPIVOTDATA(" Old %UG EL O",' Pivot Table for Data Exchange'!$A$3,"State","WV","Type2","Technical"))*100</f>
        <v>0</v>
      </c>
      <c r="U53" s="136">
        <f>IF(R53&gt;0,H53-R53,"—")</f>
        <v>0.77515159187831717</v>
      </c>
      <c r="V53" s="137">
        <f>IF(S53&gt;0,M53-S53,"—")</f>
        <v>2.4004324056127988</v>
      </c>
      <c r="W53" s="137" t="str">
        <f>IF(T53&gt;0,P53-T53,"—")</f>
        <v>—</v>
      </c>
      <c r="X53" s="126" t="s">
        <v>206</v>
      </c>
      <c r="Y53" s="138">
        <f>(GETPIVOTDATA(" New %UG EL Web",' Pivot Table for Data Exchange'!$A$3,"State","WV","Type2","Four-Year")+GETPIVOTDATA(" New %UG EL CV",' Pivot Table for Data Exchange'!$A$3,"State","WV","Type2","Four-Year")+GETPIVOTDATA(" New %UG EL O",' Pivot Table for Data Exchange'!$A$3,"State","WV","Type2","Four-Year"))*100</f>
        <v>6.6505278498192153</v>
      </c>
      <c r="Z53" s="135">
        <f>(GETPIVOTDATA(" New %UG EL Web",' Pivot Table for Data Exchange'!$A$3,"State","WV","Type2","Two-Year")+GETPIVOTDATA(" New %UG EL CV",' Pivot Table for Data Exchange'!$A$3,"State","WV","Type2","Two-Year")+GETPIVOTDATA(" New %UG EL O",' Pivot Table for Data Exchange'!$A$3,"State","WV","Type2","Two-Year"))*100</f>
        <v>15.945483753951391</v>
      </c>
      <c r="AA53" s="135">
        <f>(GETPIVOTDATA(" New %UG EL Web",' Pivot Table for Data Exchange'!$A$3,"State","WV","Type2","Technical")+GETPIVOTDATA(" New %UG EL CV",' Pivot Table for Data Exchange'!$A$3,"State","WV","Type2","Technical")+GETPIVOTDATA(" New %UG EL O",' Pivot Table for Data Exchange'!$A$3,"State","WV","Type2","Technical"))*100</f>
        <v>0</v>
      </c>
      <c r="AB53"/>
      <c r="AC53"/>
      <c r="AD53"/>
      <c r="AE53"/>
      <c r="AF53"/>
      <c r="AG53"/>
      <c r="AH53"/>
      <c r="AI53"/>
      <c r="AJ53"/>
      <c r="AK53"/>
      <c r="AL53"/>
      <c r="AM53"/>
      <c r="AN53"/>
    </row>
    <row r="54" spans="1:40" s="41" customFormat="1" ht="28.5" customHeight="1">
      <c r="A54" s="595" t="s">
        <v>895</v>
      </c>
      <c r="B54" s="596"/>
      <c r="C54" s="596"/>
      <c r="D54" s="596"/>
      <c r="E54" s="596"/>
      <c r="F54" s="596"/>
      <c r="G54" s="596"/>
      <c r="H54" s="596"/>
      <c r="I54" s="596"/>
      <c r="J54" s="596"/>
      <c r="K54" s="596"/>
      <c r="L54" s="596"/>
      <c r="M54" s="596"/>
      <c r="N54" s="596"/>
      <c r="O54" s="596"/>
      <c r="P54" s="596"/>
      <c r="Y54" s="133"/>
    </row>
    <row r="55" spans="1:40" s="41" customFormat="1" ht="16.5" customHeight="1">
      <c r="A55" s="85" t="s">
        <v>119</v>
      </c>
      <c r="H55" s="45"/>
      <c r="M55" s="53"/>
      <c r="P55" s="45"/>
      <c r="Y55" s="133"/>
    </row>
    <row r="56" spans="1:40" s="8" customFormat="1" ht="3" customHeight="1">
      <c r="A56" s="559"/>
      <c r="B56" s="560"/>
      <c r="C56" s="560"/>
      <c r="D56" s="560"/>
      <c r="E56" s="560"/>
      <c r="F56" s="560"/>
      <c r="G56" s="560"/>
      <c r="H56" s="148"/>
      <c r="I56" s="560"/>
      <c r="J56" s="560"/>
      <c r="K56" s="560"/>
      <c r="L56" s="560"/>
      <c r="M56" s="560"/>
      <c r="N56" s="560"/>
      <c r="O56" s="560"/>
      <c r="P56" s="148"/>
      <c r="Q56" s="41"/>
      <c r="R56" s="41"/>
      <c r="S56" s="41"/>
      <c r="T56" s="41"/>
      <c r="U56" s="41"/>
      <c r="V56" s="41"/>
      <c r="W56" s="41"/>
      <c r="X56" s="41"/>
      <c r="Y56" s="41"/>
      <c r="Z56" s="41"/>
      <c r="AA56" s="41"/>
      <c r="AB56" s="41"/>
      <c r="AC56" s="41"/>
      <c r="AD56" s="41"/>
      <c r="AE56" s="41"/>
      <c r="AF56" s="41"/>
      <c r="AG56" s="41"/>
      <c r="AH56" s="41"/>
      <c r="AI56" s="41"/>
      <c r="AJ56" s="41"/>
      <c r="AK56" s="41"/>
      <c r="AL56" s="41"/>
      <c r="AM56" s="41"/>
      <c r="AN56" s="41"/>
    </row>
    <row r="57" spans="1:40">
      <c r="A57" s="41"/>
      <c r="B57" s="41"/>
      <c r="C57" s="41"/>
      <c r="D57" s="41"/>
      <c r="E57" s="41"/>
      <c r="F57" s="41"/>
      <c r="G57" s="41"/>
      <c r="H57" s="45"/>
      <c r="I57" s="41"/>
      <c r="J57" s="41"/>
      <c r="K57" s="41"/>
      <c r="L57" s="41"/>
      <c r="M57" s="88"/>
      <c r="N57" s="41"/>
      <c r="O57" s="41"/>
      <c r="P57" s="572" t="s">
        <v>889</v>
      </c>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1:40" ht="18">
      <c r="A58" s="15" t="s">
        <v>232</v>
      </c>
      <c r="B58" s="5"/>
      <c r="C58" s="5"/>
      <c r="D58" s="5"/>
      <c r="E58" s="5"/>
      <c r="F58" s="5"/>
      <c r="G58" s="10"/>
      <c r="H58" s="143"/>
      <c r="I58" s="567" t="s">
        <v>196</v>
      </c>
      <c r="J58" s="567"/>
      <c r="K58" s="567"/>
      <c r="L58" s="567"/>
      <c r="M58" s="569"/>
    </row>
    <row r="59" spans="1:40" ht="9.75" customHeight="1">
      <c r="A59" s="58"/>
      <c r="B59" s="7"/>
      <c r="C59" s="7"/>
      <c r="D59" s="7"/>
      <c r="E59" s="7"/>
      <c r="F59" s="7"/>
      <c r="G59" s="7"/>
      <c r="H59" s="17"/>
      <c r="I59" s="570"/>
      <c r="J59" s="570"/>
      <c r="K59" s="570"/>
      <c r="L59" s="570"/>
      <c r="M59" s="571"/>
      <c r="N59" s="8"/>
      <c r="O59" s="8"/>
      <c r="P59" s="22"/>
      <c r="Q59" s="8"/>
      <c r="R59" s="8"/>
      <c r="S59" s="8"/>
      <c r="T59" s="8"/>
      <c r="U59" s="8"/>
      <c r="V59" s="8"/>
      <c r="W59" s="8"/>
      <c r="X59" s="8"/>
      <c r="Y59" s="8"/>
      <c r="Z59" s="8"/>
      <c r="AA59" s="8"/>
      <c r="AB59" s="8"/>
      <c r="AC59" s="8"/>
      <c r="AD59" s="8"/>
      <c r="AE59" s="8"/>
      <c r="AF59" s="8"/>
      <c r="AG59" s="8"/>
      <c r="AH59" s="8"/>
      <c r="AI59" s="8"/>
      <c r="AJ59" s="8"/>
      <c r="AK59" s="8"/>
      <c r="AL59" s="8"/>
      <c r="AM59" s="8"/>
      <c r="AN59" s="8"/>
    </row>
    <row r="60" spans="1:40" ht="18">
      <c r="A60" s="6" t="s">
        <v>25</v>
      </c>
      <c r="B60" s="5"/>
      <c r="C60" s="5"/>
      <c r="D60" s="5"/>
      <c r="E60" s="5"/>
      <c r="F60" s="5"/>
      <c r="G60" s="10"/>
      <c r="H60" s="143"/>
      <c r="I60" s="567" t="s">
        <v>196</v>
      </c>
      <c r="J60" s="567"/>
      <c r="K60" s="567"/>
      <c r="L60" s="567"/>
      <c r="M60" s="569"/>
    </row>
    <row r="61" spans="1:40" s="33" customFormat="1" ht="15.75">
      <c r="A61" s="6" t="s">
        <v>26</v>
      </c>
      <c r="B61" s="7"/>
      <c r="C61" s="7"/>
      <c r="D61" s="7"/>
      <c r="E61" s="7"/>
      <c r="F61" s="7"/>
      <c r="G61" s="10"/>
      <c r="H61" s="143"/>
      <c r="I61" s="567" t="s">
        <v>196</v>
      </c>
      <c r="J61" s="567"/>
      <c r="K61" s="567"/>
      <c r="L61" s="567"/>
      <c r="M61" s="569"/>
      <c r="N61"/>
      <c r="O61"/>
      <c r="P61" s="111"/>
      <c r="Q61"/>
      <c r="R61"/>
      <c r="S61"/>
      <c r="T61"/>
      <c r="U61"/>
      <c r="V61"/>
      <c r="W61"/>
      <c r="X61"/>
      <c r="Y61"/>
      <c r="Z61"/>
      <c r="AA61"/>
      <c r="AB61"/>
      <c r="AC61"/>
      <c r="AD61"/>
      <c r="AE61"/>
      <c r="AF61"/>
      <c r="AG61"/>
      <c r="AH61"/>
      <c r="AI61"/>
      <c r="AJ61"/>
      <c r="AK61"/>
      <c r="AL61"/>
      <c r="AM61"/>
      <c r="AN61"/>
    </row>
    <row r="62" spans="1:40" s="61" customFormat="1" ht="15.75">
      <c r="A62" s="6" t="s">
        <v>751</v>
      </c>
      <c r="B62" s="7"/>
      <c r="C62" s="7"/>
      <c r="D62" s="7"/>
      <c r="E62" s="7"/>
      <c r="F62" s="7"/>
      <c r="G62" s="10"/>
      <c r="H62" s="143"/>
      <c r="I62" s="567" t="s">
        <v>196</v>
      </c>
      <c r="J62" s="567"/>
      <c r="K62" s="567"/>
      <c r="L62" s="567"/>
      <c r="M62" s="569"/>
      <c r="N62"/>
      <c r="O62"/>
      <c r="P62" s="111"/>
      <c r="Q62"/>
      <c r="R62"/>
      <c r="S62"/>
      <c r="T62"/>
      <c r="U62"/>
      <c r="V62"/>
      <c r="W62"/>
      <c r="X62"/>
      <c r="Y62"/>
      <c r="Z62"/>
      <c r="AA62"/>
      <c r="AB62"/>
      <c r="AC62"/>
      <c r="AD62"/>
      <c r="AE62"/>
      <c r="AF62"/>
      <c r="AG62"/>
      <c r="AH62"/>
      <c r="AI62"/>
      <c r="AJ62"/>
      <c r="AK62"/>
      <c r="AL62"/>
      <c r="AM62"/>
      <c r="AN62"/>
    </row>
    <row r="63" spans="1:40" ht="12" customHeight="1">
      <c r="A63" s="11"/>
      <c r="B63" s="2"/>
      <c r="C63" s="2"/>
      <c r="D63" s="2"/>
      <c r="E63" s="2"/>
      <c r="F63" s="2"/>
      <c r="G63" s="2"/>
      <c r="H63" s="161"/>
      <c r="I63" s="1"/>
      <c r="J63" s="1"/>
      <c r="K63" s="1"/>
      <c r="L63" s="1"/>
    </row>
    <row r="64" spans="1:40" ht="15.75" customHeight="1">
      <c r="A64" s="12"/>
      <c r="B64" s="557" t="s">
        <v>203</v>
      </c>
      <c r="C64" s="557"/>
      <c r="D64" s="557"/>
      <c r="E64" s="557"/>
      <c r="F64" s="557"/>
      <c r="G64" s="557"/>
      <c r="H64" s="557"/>
      <c r="I64" s="556"/>
      <c r="J64" s="556"/>
      <c r="K64" s="556"/>
      <c r="L64" s="556"/>
      <c r="M64" s="556"/>
      <c r="N64" s="33"/>
      <c r="O64" s="33"/>
      <c r="P64" s="149"/>
      <c r="Q64" s="33"/>
      <c r="R64" s="33"/>
      <c r="S64" s="33"/>
      <c r="T64" s="33"/>
      <c r="U64" s="33"/>
      <c r="V64" s="33"/>
      <c r="W64" s="33"/>
      <c r="X64" s="33"/>
      <c r="Y64" s="33"/>
      <c r="Z64" s="33"/>
      <c r="AA64" s="33"/>
      <c r="AB64" s="33"/>
      <c r="AC64" s="33"/>
      <c r="AD64" s="33"/>
      <c r="AE64" s="33"/>
      <c r="AF64" s="33"/>
      <c r="AG64" s="33"/>
      <c r="AH64" s="33"/>
      <c r="AI64" s="33"/>
      <c r="AJ64" s="33"/>
      <c r="AK64" s="33"/>
      <c r="AL64" s="33"/>
      <c r="AM64" s="33"/>
      <c r="AN64" s="33"/>
    </row>
    <row r="65" spans="1:40" ht="15.75" customHeight="1">
      <c r="A65" s="13"/>
      <c r="B65" s="557">
        <v>1</v>
      </c>
      <c r="C65" s="557">
        <v>2</v>
      </c>
      <c r="D65" s="557">
        <v>3</v>
      </c>
      <c r="E65" s="557">
        <v>4</v>
      </c>
      <c r="F65" s="557">
        <v>5</v>
      </c>
      <c r="G65" s="557">
        <v>6</v>
      </c>
      <c r="H65" s="145" t="s">
        <v>19</v>
      </c>
      <c r="I65" s="556"/>
      <c r="J65" s="556"/>
      <c r="K65" s="556"/>
      <c r="L65" s="556"/>
      <c r="M65" s="556"/>
      <c r="N65" s="61"/>
      <c r="O65" s="61"/>
      <c r="P65" s="150"/>
      <c r="Q65" s="61"/>
      <c r="R65" s="61"/>
      <c r="S65" s="61"/>
      <c r="T65" s="61"/>
      <c r="U65" s="61"/>
      <c r="V65" s="61"/>
      <c r="W65" s="61"/>
      <c r="X65" s="61"/>
      <c r="Y65" s="61"/>
      <c r="Z65" s="61"/>
      <c r="AA65" s="61"/>
      <c r="AB65" s="61"/>
      <c r="AC65" s="61"/>
      <c r="AD65" s="61"/>
      <c r="AE65" s="61"/>
      <c r="AF65" s="61"/>
      <c r="AG65" s="61"/>
      <c r="AH65" s="61"/>
      <c r="AI65" s="61"/>
      <c r="AJ65" s="61"/>
      <c r="AK65" s="61"/>
      <c r="AL65" s="61"/>
      <c r="AM65" s="61"/>
      <c r="AN65" s="61"/>
    </row>
    <row r="66" spans="1:40" ht="15.75" customHeight="1">
      <c r="A66" s="8" t="s">
        <v>220</v>
      </c>
      <c r="B66" s="134">
        <f>+'Tables by type (55-76)'!J41+'Tables by type (55-76)'!K41</f>
        <v>90.520766684285206</v>
      </c>
      <c r="C66" s="134">
        <f>+'Tables by type (55-76)'!J72+'Tables by type (55-76)'!K72</f>
        <v>87.569424832909732</v>
      </c>
      <c r="D66" s="134">
        <f>+'Tables by type (55-76)'!J103+'Tables by type (55-76)'!K103</f>
        <v>73.009867045739611</v>
      </c>
      <c r="E66" s="134">
        <f>+'Tables by type (55-76)'!J134+'Tables by type (55-76)'!K134</f>
        <v>81.942362152257203</v>
      </c>
      <c r="F66" s="134">
        <f>+'Tables by type (55-76)'!J164+'Tables by type (55-76)'!K164</f>
        <v>13.612452776050885</v>
      </c>
      <c r="G66" s="134">
        <f>+'Tables by type (55-76)'!J195+'Tables by type (55-76)'!K195</f>
        <v>0</v>
      </c>
      <c r="H66" s="166">
        <f>+'Tables by type (55-76)'!J9+'Tables by type (55-76)'!K9</f>
        <v>77.875313047760642</v>
      </c>
      <c r="I66" s="35"/>
      <c r="J66" s="35"/>
      <c r="K66" s="35"/>
      <c r="L66" s="35"/>
      <c r="M66" s="35"/>
    </row>
    <row r="67" spans="1:40" ht="15.75" customHeight="1">
      <c r="A67" s="8" t="s">
        <v>221</v>
      </c>
      <c r="B67" s="100">
        <f>+'Tables by type (55-76)'!J42+'Tables by type (55-76)'!K42</f>
        <v>82.367527125227525</v>
      </c>
      <c r="C67" s="100">
        <f>+'Tables by type (55-76)'!J73+'Tables by type (55-76)'!K73</f>
        <v>0</v>
      </c>
      <c r="D67" s="100">
        <f>+'Tables by type (55-76)'!J104+'Tables by type (55-76)'!K104</f>
        <v>75.301167439345448</v>
      </c>
      <c r="E67" s="100">
        <f>+'Tables by type (55-76)'!J135+'Tables by type (55-76)'!K135</f>
        <v>88.273693238671569</v>
      </c>
      <c r="F67" s="100">
        <f>+'Tables by type (55-76)'!J165+'Tables by type (55-76)'!K165</f>
        <v>53.838961038961045</v>
      </c>
      <c r="G67" s="100">
        <f>+'Tables by type (55-76)'!J196+'Tables by type (55-76)'!K196</f>
        <v>84.799608993157378</v>
      </c>
      <c r="H67" s="146">
        <f>+'Tables by type (55-76)'!J10+'Tables by type (55-76)'!K10</f>
        <v>77.987158401397522</v>
      </c>
      <c r="I67" s="35"/>
      <c r="J67" s="35"/>
      <c r="K67" s="35"/>
      <c r="L67" s="35"/>
      <c r="M67" s="35"/>
    </row>
    <row r="68" spans="1:40" ht="15.75" customHeight="1">
      <c r="A68" s="8" t="s">
        <v>222</v>
      </c>
      <c r="B68" s="100">
        <f>+'Tables by type (55-76)'!J43+'Tables by type (55-76)'!K43</f>
        <v>93.180215573687917</v>
      </c>
      <c r="C68" s="100">
        <f>+'Tables by type (55-76)'!J74+'Tables by type (55-76)'!K74</f>
        <v>0</v>
      </c>
      <c r="D68" s="100">
        <f>+'Tables by type (55-76)'!J105+'Tables by type (55-76)'!K105</f>
        <v>0</v>
      </c>
      <c r="E68" s="100">
        <f>+'Tables by type (55-76)'!J136+'Tables by type (55-76)'!K136</f>
        <v>97.879858657243815</v>
      </c>
      <c r="F68" s="100">
        <f>+'Tables by type (55-76)'!J166+'Tables by type (55-76)'!K166</f>
        <v>0</v>
      </c>
      <c r="G68" s="100">
        <f>+'Tables by type (55-76)'!J197+'Tables by type (55-76)'!K197</f>
        <v>0</v>
      </c>
      <c r="H68" s="146">
        <f>+'Tables by type (55-76)'!J11+'Tables by type (55-76)'!K11</f>
        <v>93.766531475930165</v>
      </c>
      <c r="I68" s="35"/>
      <c r="J68" s="35"/>
      <c r="K68" s="35"/>
      <c r="L68" s="35"/>
      <c r="M68" s="35"/>
    </row>
    <row r="69" spans="1:40" ht="15.75" customHeight="1">
      <c r="A69" s="8" t="s">
        <v>223</v>
      </c>
      <c r="B69" s="100">
        <f>+'Tables by type (55-76)'!J44+'Tables by type (55-76)'!K44</f>
        <v>82.264976167183562</v>
      </c>
      <c r="C69" s="100">
        <f>+'Tables by type (55-76)'!J75+'Tables by type (55-76)'!K75</f>
        <v>88.698502067188841</v>
      </c>
      <c r="D69" s="100">
        <f>+'Tables by type (55-76)'!J106+'Tables by type (55-76)'!K106</f>
        <v>84.735566263635562</v>
      </c>
      <c r="E69" s="100">
        <f>+'Tables by type (55-76)'!J137+'Tables by type (55-76)'!K137</f>
        <v>60.270700636942678</v>
      </c>
      <c r="F69" s="100">
        <f>+'Tables by type (55-76)'!J167+'Tables by type (55-76)'!K167</f>
        <v>0</v>
      </c>
      <c r="G69" s="100">
        <f>+'Tables by type (55-76)'!J198+'Tables by type (55-76)'!K198</f>
        <v>0</v>
      </c>
      <c r="H69" s="146">
        <f>+'Tables by type (55-76)'!J12+'Tables by type (55-76)'!K12</f>
        <v>83.25893331829306</v>
      </c>
      <c r="I69" s="35"/>
      <c r="J69" s="35"/>
      <c r="K69" s="35"/>
      <c r="L69" s="35"/>
      <c r="M69" s="35"/>
    </row>
    <row r="70" spans="1:40" ht="15.75" customHeight="1">
      <c r="A70" s="8"/>
      <c r="B70" s="100"/>
      <c r="C70" s="100"/>
      <c r="D70" s="100"/>
      <c r="E70" s="100"/>
      <c r="F70" s="100"/>
      <c r="G70" s="100"/>
      <c r="H70" s="146"/>
      <c r="I70" s="35"/>
      <c r="J70" s="35"/>
      <c r="K70" s="35"/>
      <c r="L70" s="35"/>
      <c r="M70" s="35"/>
    </row>
    <row r="71" spans="1:40" ht="15.75" customHeight="1">
      <c r="A71" s="8" t="s">
        <v>224</v>
      </c>
      <c r="B71" s="100">
        <f>+'Tables by type (55-76)'!J46+'Tables by type (55-76)'!K46</f>
        <v>98.438828773011295</v>
      </c>
      <c r="C71" s="100">
        <f>+'Tables by type (55-76)'!J77+'Tables by type (55-76)'!K77</f>
        <v>98.343538836802281</v>
      </c>
      <c r="D71" s="100">
        <f>+'Tables by type (55-76)'!J108+'Tables by type (55-76)'!K108</f>
        <v>56.559324811537195</v>
      </c>
      <c r="E71" s="100">
        <f>+'Tables by type (55-76)'!J139+'Tables by type (55-76)'!K139</f>
        <v>93.032962110878103</v>
      </c>
      <c r="F71" s="100">
        <f>+'Tables by type (55-76)'!J169+'Tables by type (55-76)'!K169</f>
        <v>94.519845036816577</v>
      </c>
      <c r="G71" s="100">
        <f>+'Tables by type (55-76)'!J200+'Tables by type (55-76)'!K200</f>
        <v>97.880184331797238</v>
      </c>
      <c r="H71" s="146">
        <f>+'Tables by type (55-76)'!J14+'Tables by type (55-76)'!K14</f>
        <v>93.039018527178087</v>
      </c>
      <c r="I71" s="35"/>
      <c r="J71" s="35"/>
      <c r="K71" s="35"/>
      <c r="L71" s="35"/>
      <c r="M71" s="35"/>
    </row>
    <row r="72" spans="1:40" ht="15.75" customHeight="1">
      <c r="A72" s="8" t="s">
        <v>225</v>
      </c>
      <c r="B72" s="100">
        <f>+'Tables by type (55-76)'!J47+'Tables by type (55-76)'!K47</f>
        <v>92.386699430775451</v>
      </c>
      <c r="C72" s="100">
        <f>+'Tables by type (55-76)'!J78+'Tables by type (55-76)'!K78</f>
        <v>0</v>
      </c>
      <c r="D72" s="100">
        <f>+'Tables by type (55-76)'!J109+'Tables by type (55-76)'!K109</f>
        <v>65.030930072712806</v>
      </c>
      <c r="E72" s="100">
        <f>+'Tables by type (55-76)'!J140+'Tables by type (55-76)'!K140</f>
        <v>65.55965559655597</v>
      </c>
      <c r="F72" s="100">
        <f>+'Tables by type (55-76)'!J170+'Tables by type (55-76)'!K170</f>
        <v>47.56189047261816</v>
      </c>
      <c r="G72" s="100">
        <f>+'Tables by type (55-76)'!J201+'Tables by type (55-76)'!K201</f>
        <v>0</v>
      </c>
      <c r="H72" s="146">
        <f>+'Tables by type (55-76)'!J15+'Tables by type (55-76)'!K15</f>
        <v>78.146612997351454</v>
      </c>
      <c r="I72" s="35"/>
      <c r="J72" s="35"/>
      <c r="K72" s="35"/>
      <c r="L72" s="35"/>
      <c r="M72" s="35"/>
    </row>
    <row r="73" spans="1:40" ht="15.75" customHeight="1">
      <c r="A73" s="8" t="s">
        <v>226</v>
      </c>
      <c r="B73" s="100">
        <f>+'Tables by type (55-76)'!J48+'Tables by type (55-76)'!K48</f>
        <v>100</v>
      </c>
      <c r="C73" s="100">
        <f>+'Tables by type (55-76)'!J79+'Tables by type (55-76)'!K79</f>
        <v>98.679025744820237</v>
      </c>
      <c r="D73" s="100">
        <f>+'Tables by type (55-76)'!J110+'Tables by type (55-76)'!K110</f>
        <v>93.121459869616331</v>
      </c>
      <c r="E73" s="100">
        <f>+'Tables by type (55-76)'!J141+'Tables by type (55-76)'!K141</f>
        <v>76.861775212970599</v>
      </c>
      <c r="F73" s="100">
        <f>+'Tables by type (55-76)'!J171+'Tables by type (55-76)'!K171</f>
        <v>100</v>
      </c>
      <c r="G73" s="100">
        <f>+'Tables by type (55-76)'!J202+'Tables by type (55-76)'!K202</f>
        <v>0</v>
      </c>
      <c r="H73" s="146">
        <f>+'Tables by type (55-76)'!J16+'Tables by type (55-76)'!K16</f>
        <v>93.624614342432508</v>
      </c>
      <c r="I73" s="35"/>
      <c r="J73" s="35"/>
      <c r="K73" s="35"/>
      <c r="L73" s="35"/>
      <c r="M73" s="35"/>
    </row>
    <row r="74" spans="1:40" ht="15.75" customHeight="1">
      <c r="A74" s="8" t="s">
        <v>117</v>
      </c>
      <c r="B74" s="100">
        <f>+'Tables by type (55-76)'!J49+'Tables by type (55-76)'!K49</f>
        <v>97.423964397021649</v>
      </c>
      <c r="C74" s="100">
        <f>+'Tables by type (55-76)'!J80+'Tables by type (55-76)'!K80</f>
        <v>86.238097119601719</v>
      </c>
      <c r="D74" s="100">
        <f>+'Tables by type (55-76)'!J111+'Tables by type (55-76)'!K111</f>
        <v>94.484061036410338</v>
      </c>
      <c r="E74" s="100">
        <f>+'Tables by type (55-76)'!J142+'Tables by type (55-76)'!K142</f>
        <v>88.574894094644989</v>
      </c>
      <c r="F74" s="100">
        <f>+'Tables by type (55-76)'!J172+'Tables by type (55-76)'!K172</f>
        <v>0</v>
      </c>
      <c r="G74" s="100">
        <f>+'Tables by type (55-76)'!J203+'Tables by type (55-76)'!K203</f>
        <v>100</v>
      </c>
      <c r="H74" s="146">
        <f>+'Tables by type (55-76)'!J17+'Tables by type (55-76)'!K17</f>
        <v>72.519305494871986</v>
      </c>
      <c r="I74" s="35"/>
      <c r="J74" s="35"/>
      <c r="K74" s="35"/>
      <c r="L74" s="35"/>
      <c r="M74" s="35"/>
    </row>
    <row r="75" spans="1:40" ht="15.75" customHeight="1">
      <c r="A75" s="8"/>
      <c r="B75" s="100"/>
      <c r="C75" s="100"/>
      <c r="D75" s="100"/>
      <c r="E75" s="100"/>
      <c r="F75" s="100"/>
      <c r="G75" s="100"/>
      <c r="H75" s="146"/>
      <c r="I75" s="35"/>
      <c r="J75" s="35"/>
      <c r="K75" s="35"/>
      <c r="L75" s="35"/>
      <c r="M75" s="35"/>
    </row>
    <row r="76" spans="1:40" ht="15.75" customHeight="1">
      <c r="A76" s="8" t="s">
        <v>204</v>
      </c>
      <c r="B76" s="100">
        <f>+'Tables by type (55-76)'!J51+'Tables by type (55-76)'!K51</f>
        <v>82.262202004309614</v>
      </c>
      <c r="C76" s="100">
        <f>+'Tables by type (55-76)'!J82+'Tables by type (55-76)'!K82</f>
        <v>96.214465461813532</v>
      </c>
      <c r="D76" s="100">
        <f>+'Tables by type (55-76)'!J113+'Tables by type (55-76)'!K113</f>
        <v>0</v>
      </c>
      <c r="E76" s="100">
        <f>+'Tables by type (55-76)'!J144+'Tables by type (55-76)'!K144</f>
        <v>73.224066390041486</v>
      </c>
      <c r="F76" s="100">
        <f>+'Tables by type (55-76)'!J174+'Tables by type (55-76)'!K174</f>
        <v>84.829406986190079</v>
      </c>
      <c r="G76" s="100">
        <f>+'Tables by type (55-76)'!J205+'Tables by type (55-76)'!K205</f>
        <v>0</v>
      </c>
      <c r="H76" s="146">
        <f>+'Tables by type (55-76)'!J19+'Tables by type (55-76)'!K19</f>
        <v>86.392333371803261</v>
      </c>
      <c r="I76" s="35"/>
      <c r="J76" s="35"/>
      <c r="K76" s="35"/>
      <c r="L76" s="35"/>
      <c r="M76" s="35"/>
    </row>
    <row r="77" spans="1:40" ht="15.75" customHeight="1">
      <c r="A77" s="8" t="s">
        <v>212</v>
      </c>
      <c r="B77" s="100">
        <f>+'Tables by type (55-76)'!J52+'Tables by type (55-76)'!K52</f>
        <v>92.136755514282143</v>
      </c>
      <c r="C77" s="100">
        <f>+'Tables by type (55-76)'!J83+'Tables by type (55-76)'!K83</f>
        <v>91.464308789046896</v>
      </c>
      <c r="D77" s="100">
        <f>+'Tables by type (55-76)'!J114+'Tables by type (55-76)'!K114</f>
        <v>72.135829041432856</v>
      </c>
      <c r="E77" s="100">
        <f>+'Tables by type (55-76)'!J145+'Tables by type (55-76)'!K145</f>
        <v>81.200282835425142</v>
      </c>
      <c r="F77" s="100">
        <f>+'Tables by type (55-76)'!J175+'Tables by type (55-76)'!K175</f>
        <v>72.301894692766666</v>
      </c>
      <c r="G77" s="100">
        <f>+'Tables by type (55-76)'!J206+'Tables by type (55-76)'!K206</f>
        <v>80.017079419299748</v>
      </c>
      <c r="H77" s="146">
        <f>+'Tables by type (55-76)'!J20+'Tables by type (55-76)'!K20</f>
        <v>84.207870287020512</v>
      </c>
      <c r="I77" s="35"/>
      <c r="J77" s="35"/>
      <c r="K77" s="35"/>
      <c r="L77" s="35"/>
      <c r="M77" s="35"/>
    </row>
    <row r="78" spans="1:40" ht="15.75" customHeight="1">
      <c r="A78" s="8" t="s">
        <v>205</v>
      </c>
      <c r="B78" s="100">
        <f>+'Tables by type (55-76)'!J53+'Tables by type (55-76)'!K53</f>
        <v>88.333036350677119</v>
      </c>
      <c r="C78" s="100">
        <f>+'Tables by type (55-76)'!J84+'Tables by type (55-76)'!K84</f>
        <v>0</v>
      </c>
      <c r="D78" s="100">
        <f>+'Tables by type (55-76)'!J115+'Tables by type (55-76)'!K115</f>
        <v>88.458309282678272</v>
      </c>
      <c r="E78" s="100">
        <f>+'Tables by type (55-76)'!J146+'Tables by type (55-76)'!K146</f>
        <v>0</v>
      </c>
      <c r="F78" s="100">
        <f>+'Tables by type (55-76)'!J176+'Tables by type (55-76)'!K176</f>
        <v>66.173125808321814</v>
      </c>
      <c r="G78" s="100">
        <f>+'Tables by type (55-76)'!J207+'Tables by type (55-76)'!K207</f>
        <v>0</v>
      </c>
      <c r="H78" s="146">
        <f>+'Tables by type (55-76)'!J21+'Tables by type (55-76)'!K21</f>
        <v>84.213814474210324</v>
      </c>
      <c r="I78" s="35"/>
      <c r="J78" s="35"/>
      <c r="K78" s="35"/>
      <c r="L78" s="35"/>
      <c r="M78" s="35"/>
    </row>
    <row r="79" spans="1:40" ht="15.75" customHeight="1">
      <c r="A79" s="8" t="s">
        <v>228</v>
      </c>
      <c r="B79" s="100">
        <f>+'Tables by type (55-76)'!J54+'Tables by type (55-76)'!K54</f>
        <v>83.800483030989497</v>
      </c>
      <c r="C79" s="100">
        <f>+'Tables by type (55-76)'!J85+'Tables by type (55-76)'!K85</f>
        <v>0</v>
      </c>
      <c r="D79" s="100">
        <f>+'Tables by type (55-76)'!J116+'Tables by type (55-76)'!K116</f>
        <v>99.188023344328855</v>
      </c>
      <c r="E79" s="100">
        <f>+'Tables by type (55-76)'!J147+'Tables by type (55-76)'!K147</f>
        <v>96.321737203633958</v>
      </c>
      <c r="F79" s="100">
        <f>+'Tables by type (55-76)'!J177+'Tables by type (55-76)'!K177</f>
        <v>89.869557229469052</v>
      </c>
      <c r="G79" s="100">
        <f>+'Tables by type (55-76)'!J208+'Tables by type (55-76)'!K208</f>
        <v>91.950113378684804</v>
      </c>
      <c r="H79" s="146">
        <f>+'Tables by type (55-76)'!J22+'Tables by type (55-76)'!K22</f>
        <v>87.551842121711289</v>
      </c>
      <c r="I79" s="35"/>
      <c r="J79" s="35"/>
      <c r="K79" s="35"/>
      <c r="L79" s="35"/>
      <c r="M79" s="35"/>
    </row>
    <row r="80" spans="1:40" ht="15.75" customHeight="1">
      <c r="A80" s="8"/>
      <c r="B80" s="100"/>
      <c r="C80" s="100"/>
      <c r="D80" s="100"/>
      <c r="E80" s="100"/>
      <c r="F80" s="100"/>
      <c r="G80" s="100"/>
      <c r="H80" s="146"/>
      <c r="I80" s="35"/>
      <c r="J80" s="35"/>
      <c r="K80" s="35"/>
      <c r="L80" s="35"/>
      <c r="M80" s="35"/>
    </row>
    <row r="81" spans="1:40" ht="15.75" customHeight="1">
      <c r="A81" s="8" t="s">
        <v>229</v>
      </c>
      <c r="B81" s="100">
        <f>+'Tables by type (55-76)'!J56+'Tables by type (55-76)'!K56</f>
        <v>84.099806304502394</v>
      </c>
      <c r="C81" s="100">
        <f>+'Tables by type (55-76)'!J87+'Tables by type (55-76)'!K87</f>
        <v>79.492238540741113</v>
      </c>
      <c r="D81" s="100">
        <f>+'Tables by type (55-76)'!J118+'Tables by type (55-76)'!K118</f>
        <v>77.86235354800678</v>
      </c>
      <c r="E81" s="100">
        <f>+'Tables by type (55-76)'!J149+'Tables by type (55-76)'!K149</f>
        <v>58.27688304696963</v>
      </c>
      <c r="F81" s="100">
        <f>+'Tables by type (55-76)'!J179+'Tables by type (55-76)'!K179</f>
        <v>37.902454574434174</v>
      </c>
      <c r="G81" s="100">
        <f>+'Tables by type (55-76)'!J210+'Tables by type (55-76)'!K210</f>
        <v>0</v>
      </c>
      <c r="H81" s="146">
        <f>+'Tables by type (55-76)'!J24+'Tables by type (55-76)'!K24</f>
        <v>77.250262676577023</v>
      </c>
      <c r="I81" s="35"/>
      <c r="J81" s="35"/>
      <c r="K81" s="35"/>
      <c r="L81" s="35"/>
      <c r="M81" s="35"/>
    </row>
    <row r="82" spans="1:40" s="42" customFormat="1">
      <c r="A82" s="8" t="s">
        <v>213</v>
      </c>
      <c r="B82" s="100">
        <f>+'Tables by type (55-76)'!J57+'Tables by type (55-76)'!K57</f>
        <v>91.97544123979786</v>
      </c>
      <c r="C82" s="100">
        <f>+'Tables by type (55-76)'!J88+'Tables by type (55-76)'!K88</f>
        <v>68.107307940700537</v>
      </c>
      <c r="D82" s="100">
        <f>+'Tables by type (55-76)'!J119+'Tables by type (55-76)'!K119</f>
        <v>75.081485877603299</v>
      </c>
      <c r="E82" s="100">
        <f>+'Tables by type (55-76)'!J150+'Tables by type (55-76)'!K150</f>
        <v>77.02407002188184</v>
      </c>
      <c r="F82" s="100">
        <f>+'Tables by type (55-76)'!J180+'Tables by type (55-76)'!K180</f>
        <v>36.881161107271467</v>
      </c>
      <c r="G82" s="100">
        <f>+'Tables by type (55-76)'!J211+'Tables by type (55-76)'!K211</f>
        <v>100</v>
      </c>
      <c r="H82" s="146">
        <f>+'Tables by type (55-76)'!J25+'Tables by type (55-76)'!K25</f>
        <v>83.137329153019977</v>
      </c>
      <c r="I82" s="35"/>
      <c r="J82" s="35"/>
      <c r="K82" s="35"/>
      <c r="L82" s="35"/>
      <c r="M82" s="35"/>
      <c r="N82"/>
      <c r="O82"/>
      <c r="P82" s="111"/>
      <c r="Q82"/>
      <c r="R82"/>
      <c r="S82"/>
      <c r="T82"/>
      <c r="U82"/>
      <c r="V82"/>
      <c r="W82"/>
      <c r="X82"/>
      <c r="Y82"/>
      <c r="Z82"/>
      <c r="AA82"/>
      <c r="AB82"/>
      <c r="AC82"/>
      <c r="AD82"/>
      <c r="AE82"/>
      <c r="AF82"/>
      <c r="AG82"/>
      <c r="AH82"/>
      <c r="AI82"/>
      <c r="AJ82"/>
      <c r="AK82"/>
      <c r="AL82"/>
      <c r="AM82"/>
      <c r="AN82"/>
    </row>
    <row r="83" spans="1:40" s="42" customFormat="1" ht="27.75" customHeight="1">
      <c r="A83" s="8" t="s">
        <v>230</v>
      </c>
      <c r="B83" s="100">
        <f>+'Tables by type (55-76)'!J58+'Tables by type (55-76)'!K58</f>
        <v>0</v>
      </c>
      <c r="C83" s="100">
        <f>+'Tables by type (55-76)'!J89+'Tables by type (55-76)'!K89</f>
        <v>0</v>
      </c>
      <c r="D83" s="100">
        <f>+'Tables by type (55-76)'!J120+'Tables by type (55-76)'!K120</f>
        <v>0</v>
      </c>
      <c r="E83" s="100">
        <f>+'Tables by type (55-76)'!J151+'Tables by type (55-76)'!K151</f>
        <v>0</v>
      </c>
      <c r="F83" s="100">
        <f>+'Tables by type (55-76)'!J181+'Tables by type (55-76)'!K181</f>
        <v>0</v>
      </c>
      <c r="G83" s="100">
        <f>+'Tables by type (55-76)'!J212+'Tables by type (55-76)'!K212</f>
        <v>0</v>
      </c>
      <c r="H83" s="146">
        <f>+'Tables by type (55-76)'!J26+'Tables by type (55-76)'!K26</f>
        <v>0</v>
      </c>
      <c r="I83" s="35"/>
      <c r="J83" s="35"/>
      <c r="K83" s="35"/>
      <c r="L83" s="35"/>
      <c r="M83" s="35"/>
      <c r="N83"/>
      <c r="O83"/>
      <c r="P83" s="111"/>
      <c r="Q83"/>
      <c r="R83"/>
      <c r="S83"/>
      <c r="T83"/>
      <c r="U83"/>
      <c r="V83"/>
      <c r="W83"/>
      <c r="X83"/>
      <c r="Y83"/>
      <c r="Z83"/>
      <c r="AA83"/>
      <c r="AB83"/>
      <c r="AC83"/>
      <c r="AD83"/>
      <c r="AE83"/>
      <c r="AF83"/>
      <c r="AG83"/>
      <c r="AH83"/>
      <c r="AI83"/>
      <c r="AJ83"/>
      <c r="AK83"/>
      <c r="AL83"/>
      <c r="AM83"/>
      <c r="AN83"/>
    </row>
    <row r="84" spans="1:40" s="42" customFormat="1">
      <c r="A84" s="9" t="s">
        <v>206</v>
      </c>
      <c r="B84" s="80">
        <f>+'Tables by type (55-76)'!J59+'Tables by type (55-76)'!K59</f>
        <v>78.959485588380772</v>
      </c>
      <c r="C84" s="80">
        <f>+'Tables by type (55-76)'!J90+'Tables by type (55-76)'!K90</f>
        <v>0</v>
      </c>
      <c r="D84" s="80">
        <f>+'Tables by type (55-76)'!J121+'Tables by type (55-76)'!K121</f>
        <v>76.337542650110805</v>
      </c>
      <c r="E84" s="80">
        <f>+'Tables by type (55-76)'!J152+'Tables by type (55-76)'!K152</f>
        <v>0</v>
      </c>
      <c r="F84" s="80">
        <f>+'Tables by type (55-76)'!J182+'Tables by type (55-76)'!K182</f>
        <v>0</v>
      </c>
      <c r="G84" s="80">
        <f>+'Tables by type (55-76)'!J213+'Tables by type (55-76)'!K213</f>
        <v>47.615116492386719</v>
      </c>
      <c r="H84" s="147">
        <f>+'Tables by type (55-76)'!J27+'Tables by type (55-76)'!K27</f>
        <v>76.216926042859939</v>
      </c>
      <c r="I84" s="35"/>
      <c r="J84" s="35"/>
      <c r="K84" s="35"/>
      <c r="L84" s="35"/>
      <c r="M84" s="35"/>
      <c r="N84"/>
      <c r="O84"/>
      <c r="P84" s="111"/>
      <c r="Q84"/>
      <c r="R84"/>
      <c r="S84"/>
      <c r="T84"/>
      <c r="U84"/>
      <c r="V84"/>
      <c r="W84"/>
      <c r="X84"/>
      <c r="Y84"/>
      <c r="Z84"/>
      <c r="AA84"/>
      <c r="AB84"/>
      <c r="AC84"/>
      <c r="AD84"/>
      <c r="AE84"/>
      <c r="AF84"/>
      <c r="AG84"/>
      <c r="AH84"/>
      <c r="AI84"/>
      <c r="AJ84"/>
      <c r="AK84"/>
      <c r="AL84"/>
      <c r="AM84"/>
      <c r="AN84"/>
    </row>
    <row r="85" spans="1:40">
      <c r="A85" s="42"/>
      <c r="B85" s="42"/>
      <c r="C85" s="42"/>
      <c r="D85" s="42"/>
      <c r="E85" s="42"/>
      <c r="F85" s="42"/>
      <c r="G85" s="42"/>
      <c r="H85" s="151"/>
      <c r="I85" s="42"/>
      <c r="J85" s="55"/>
      <c r="K85" s="42"/>
      <c r="L85" s="42"/>
      <c r="M85" s="55"/>
      <c r="N85" s="42"/>
      <c r="O85" s="42"/>
      <c r="P85" s="151"/>
      <c r="Q85" s="42"/>
      <c r="R85" s="42"/>
      <c r="S85" s="42"/>
      <c r="T85" s="42"/>
      <c r="U85" s="42"/>
      <c r="V85" s="42"/>
      <c r="W85" s="42"/>
      <c r="X85" s="42"/>
      <c r="Y85" s="42"/>
      <c r="Z85" s="42"/>
      <c r="AA85" s="42"/>
      <c r="AB85" s="42"/>
      <c r="AC85" s="42"/>
      <c r="AD85" s="42"/>
      <c r="AE85" s="42"/>
      <c r="AF85" s="42"/>
      <c r="AG85" s="42"/>
      <c r="AH85" s="42"/>
      <c r="AI85" s="42"/>
      <c r="AJ85" s="42"/>
      <c r="AK85" s="42"/>
      <c r="AL85" s="42"/>
      <c r="AM85" s="42"/>
      <c r="AN85" s="42"/>
    </row>
    <row r="86" spans="1:40" s="8" customFormat="1">
      <c r="A86" s="573" t="s">
        <v>120</v>
      </c>
      <c r="B86" s="555"/>
      <c r="C86" s="555"/>
      <c r="D86" s="555"/>
      <c r="E86" s="555"/>
      <c r="F86" s="555"/>
      <c r="G86" s="555"/>
      <c r="H86" s="555"/>
      <c r="I86" s="42"/>
      <c r="J86" s="42"/>
      <c r="K86" s="42"/>
      <c r="L86" s="42"/>
      <c r="M86" s="55"/>
      <c r="N86" s="42"/>
      <c r="O86" s="42"/>
      <c r="P86" s="151"/>
      <c r="Q86" s="42"/>
      <c r="R86" s="42"/>
      <c r="S86" s="42"/>
      <c r="T86" s="42"/>
      <c r="U86" s="42"/>
      <c r="V86" s="42"/>
      <c r="W86" s="42"/>
      <c r="X86" s="42"/>
      <c r="Y86" s="42"/>
      <c r="Z86" s="42"/>
      <c r="AA86" s="42"/>
      <c r="AB86" s="42"/>
      <c r="AC86" s="42"/>
      <c r="AD86" s="42"/>
      <c r="AE86" s="42"/>
      <c r="AF86" s="42"/>
      <c r="AG86" s="42"/>
      <c r="AH86" s="42"/>
      <c r="AI86" s="42"/>
      <c r="AJ86" s="42"/>
      <c r="AK86" s="42"/>
      <c r="AL86" s="42"/>
      <c r="AM86" s="42"/>
      <c r="AN86" s="42"/>
    </row>
    <row r="87" spans="1:40">
      <c r="A87" s="42"/>
      <c r="B87" s="42"/>
      <c r="C87" s="42"/>
      <c r="D87" s="42"/>
      <c r="E87" s="42"/>
      <c r="F87" s="42"/>
      <c r="G87" s="42"/>
      <c r="H87" s="572" t="s">
        <v>889</v>
      </c>
      <c r="I87" s="42"/>
      <c r="J87" s="42"/>
      <c r="K87" s="42"/>
      <c r="L87" s="42"/>
      <c r="M87" s="55"/>
      <c r="N87" s="42"/>
      <c r="O87" s="42"/>
      <c r="P87" s="151"/>
      <c r="Q87" s="42"/>
      <c r="R87" s="42"/>
      <c r="S87" s="42"/>
      <c r="T87" s="42"/>
      <c r="U87" s="42"/>
      <c r="V87" s="42"/>
      <c r="W87" s="42"/>
      <c r="X87" s="42"/>
      <c r="Y87" s="42"/>
      <c r="Z87" s="42"/>
      <c r="AA87" s="42"/>
      <c r="AB87" s="42"/>
      <c r="AC87" s="42"/>
      <c r="AD87" s="42"/>
      <c r="AE87" s="42"/>
      <c r="AF87" s="42"/>
      <c r="AG87" s="42"/>
      <c r="AH87" s="42"/>
      <c r="AI87" s="42"/>
      <c r="AJ87" s="42"/>
      <c r="AK87" s="42"/>
      <c r="AL87" s="42"/>
      <c r="AM87" s="42"/>
      <c r="AN87" s="42"/>
    </row>
    <row r="88" spans="1:40" ht="18">
      <c r="A88" s="15" t="s">
        <v>233</v>
      </c>
      <c r="B88" s="5"/>
      <c r="C88" s="5"/>
      <c r="D88" s="5"/>
      <c r="E88" s="5"/>
      <c r="F88" s="5"/>
      <c r="G88" s="10"/>
      <c r="H88" s="143"/>
      <c r="I88" s="567" t="s">
        <v>196</v>
      </c>
      <c r="J88" s="567"/>
      <c r="K88" s="567"/>
      <c r="L88" s="567"/>
      <c r="M88" s="569"/>
    </row>
    <row r="89" spans="1:40">
      <c r="A89" s="58"/>
      <c r="B89" s="7"/>
      <c r="C89" s="7"/>
      <c r="D89" s="7"/>
      <c r="E89" s="7"/>
      <c r="F89" s="7"/>
      <c r="G89" s="7"/>
      <c r="H89" s="17"/>
      <c r="I89" s="570"/>
      <c r="J89" s="570"/>
      <c r="K89" s="570"/>
      <c r="L89" s="570"/>
      <c r="M89" s="571"/>
      <c r="N89" s="8"/>
      <c r="O89" s="8"/>
      <c r="P89" s="22"/>
      <c r="Q89" s="8"/>
      <c r="R89" s="8"/>
      <c r="S89" s="8"/>
      <c r="T89" s="8"/>
      <c r="U89" s="8"/>
      <c r="V89" s="8"/>
      <c r="W89" s="8"/>
      <c r="X89" s="8"/>
      <c r="Y89" s="8"/>
      <c r="Z89" s="8"/>
      <c r="AA89" s="8"/>
      <c r="AB89" s="8"/>
      <c r="AC89" s="8"/>
      <c r="AD89" s="8"/>
      <c r="AE89" s="8"/>
      <c r="AF89" s="8"/>
      <c r="AG89" s="8"/>
      <c r="AH89" s="8"/>
      <c r="AI89" s="8"/>
      <c r="AJ89" s="8"/>
      <c r="AK89" s="8"/>
      <c r="AL89" s="8"/>
      <c r="AM89" s="8"/>
      <c r="AN89" s="8"/>
    </row>
    <row r="90" spans="1:40" s="61" customFormat="1" ht="18">
      <c r="A90" s="6" t="s">
        <v>29</v>
      </c>
      <c r="B90" s="5"/>
      <c r="C90" s="5"/>
      <c r="D90" s="5"/>
      <c r="E90" s="5"/>
      <c r="F90" s="5"/>
      <c r="G90" s="10"/>
      <c r="H90" s="143"/>
      <c r="I90" s="567" t="s">
        <v>196</v>
      </c>
      <c r="J90" s="567"/>
      <c r="K90" s="567"/>
      <c r="L90" s="567"/>
      <c r="M90" s="569"/>
      <c r="N90"/>
      <c r="O90"/>
      <c r="P90" s="111"/>
      <c r="Q90"/>
      <c r="R90"/>
      <c r="S90"/>
      <c r="T90"/>
      <c r="U90"/>
      <c r="V90"/>
      <c r="W90"/>
      <c r="X90"/>
      <c r="Y90"/>
      <c r="Z90"/>
      <c r="AA90"/>
      <c r="AB90"/>
      <c r="AC90"/>
      <c r="AD90"/>
      <c r="AE90"/>
      <c r="AF90"/>
      <c r="AG90"/>
      <c r="AH90"/>
      <c r="AI90"/>
      <c r="AJ90"/>
      <c r="AK90"/>
      <c r="AL90"/>
      <c r="AM90"/>
      <c r="AN90"/>
    </row>
    <row r="91" spans="1:40" s="61" customFormat="1" ht="15.75">
      <c r="A91" s="6" t="s">
        <v>751</v>
      </c>
      <c r="B91" s="7"/>
      <c r="C91" s="7"/>
      <c r="D91" s="7"/>
      <c r="E91" s="7"/>
      <c r="F91" s="7"/>
      <c r="G91" s="10"/>
      <c r="H91" s="143"/>
      <c r="I91" s="567" t="s">
        <v>196</v>
      </c>
      <c r="J91" s="567"/>
      <c r="K91" s="567"/>
      <c r="L91" s="567"/>
      <c r="M91" s="569"/>
      <c r="N91"/>
      <c r="O91"/>
      <c r="P91" s="111"/>
      <c r="Q91"/>
      <c r="R91"/>
      <c r="S91"/>
      <c r="T91"/>
      <c r="U91"/>
      <c r="V91"/>
      <c r="W91"/>
      <c r="X91"/>
      <c r="Y91"/>
      <c r="Z91"/>
      <c r="AA91"/>
      <c r="AB91"/>
      <c r="AC91"/>
      <c r="AD91"/>
      <c r="AE91"/>
      <c r="AF91"/>
      <c r="AG91"/>
      <c r="AH91"/>
      <c r="AI91"/>
      <c r="AJ91"/>
      <c r="AK91"/>
      <c r="AL91"/>
      <c r="AM91"/>
      <c r="AN91"/>
    </row>
    <row r="92" spans="1:40" ht="11.25" customHeight="1">
      <c r="A92" s="558"/>
      <c r="B92" s="570"/>
      <c r="C92" s="570"/>
      <c r="D92" s="570"/>
      <c r="E92" s="570"/>
      <c r="F92" s="570"/>
      <c r="G92" s="567"/>
      <c r="H92" s="568"/>
      <c r="I92" s="567"/>
      <c r="J92" s="567"/>
      <c r="K92" s="567"/>
      <c r="L92" s="567"/>
      <c r="M92" s="569"/>
    </row>
    <row r="93" spans="1:40" ht="15.75" customHeight="1">
      <c r="A93" s="13"/>
      <c r="B93" s="95" t="s">
        <v>203</v>
      </c>
      <c r="C93" s="95"/>
      <c r="D93" s="95"/>
      <c r="E93" s="95"/>
      <c r="F93" s="95"/>
      <c r="G93" s="95"/>
      <c r="H93" s="95"/>
      <c r="I93" s="556"/>
      <c r="J93" s="556"/>
      <c r="K93" s="556"/>
      <c r="L93" s="556"/>
      <c r="M93" s="556"/>
      <c r="N93" s="556"/>
      <c r="O93" s="61"/>
      <c r="P93" s="150"/>
      <c r="Q93" s="61"/>
      <c r="R93" s="61"/>
      <c r="S93" s="61"/>
      <c r="T93" s="61"/>
      <c r="U93" s="61"/>
      <c r="V93" s="61"/>
      <c r="W93" s="61"/>
      <c r="X93" s="61"/>
      <c r="Y93" s="61"/>
      <c r="Z93" s="61"/>
      <c r="AA93" s="61"/>
      <c r="AB93" s="61"/>
      <c r="AC93" s="61"/>
      <c r="AD93" s="61"/>
      <c r="AE93" s="61"/>
      <c r="AF93" s="61"/>
      <c r="AG93" s="61"/>
      <c r="AH93" s="61"/>
      <c r="AI93" s="61"/>
      <c r="AJ93" s="61"/>
      <c r="AK93" s="61"/>
      <c r="AL93" s="61"/>
      <c r="AM93" s="61"/>
      <c r="AN93" s="61"/>
    </row>
    <row r="94" spans="1:40" ht="15.75" customHeight="1">
      <c r="A94" s="13"/>
      <c r="B94" s="557">
        <v>1</v>
      </c>
      <c r="C94" s="557">
        <v>2</v>
      </c>
      <c r="D94" s="557">
        <v>3</v>
      </c>
      <c r="E94" s="557">
        <v>4</v>
      </c>
      <c r="F94" s="557">
        <v>5</v>
      </c>
      <c r="G94" s="557">
        <v>6</v>
      </c>
      <c r="H94" s="145" t="s">
        <v>19</v>
      </c>
      <c r="I94" s="556"/>
      <c r="J94" s="556"/>
      <c r="K94" s="556"/>
      <c r="L94" s="556"/>
      <c r="M94" s="556"/>
      <c r="N94" s="556"/>
      <c r="O94" s="61"/>
      <c r="P94" s="150"/>
      <c r="Q94" s="61"/>
      <c r="R94" s="61"/>
      <c r="S94" s="61"/>
      <c r="T94" s="61"/>
      <c r="U94" s="61"/>
      <c r="V94" s="61"/>
      <c r="W94" s="61"/>
      <c r="X94" s="61"/>
      <c r="Y94" s="61"/>
      <c r="Z94" s="61"/>
      <c r="AA94" s="61"/>
      <c r="AB94" s="61"/>
      <c r="AC94" s="61"/>
      <c r="AD94" s="61"/>
      <c r="AE94" s="61"/>
      <c r="AF94" s="61"/>
      <c r="AG94" s="61"/>
      <c r="AH94" s="61"/>
      <c r="AI94" s="61"/>
      <c r="AJ94" s="61"/>
      <c r="AK94" s="61"/>
      <c r="AL94" s="61"/>
      <c r="AM94" s="61"/>
      <c r="AN94" s="61"/>
    </row>
    <row r="95" spans="1:40" ht="15.75" customHeight="1">
      <c r="A95" s="8" t="s">
        <v>220</v>
      </c>
      <c r="B95" s="134">
        <f>+'Tables by type (55-76)'!L41</f>
        <v>9.4792333157148025</v>
      </c>
      <c r="C95" s="134">
        <f>+'Tables by type (55-76)'!L72</f>
        <v>12.430575167090275</v>
      </c>
      <c r="D95" s="134">
        <f>+'Tables by type (55-76)'!L103</f>
        <v>26.990132954260389</v>
      </c>
      <c r="E95" s="134">
        <f>+'Tables by type (55-76)'!L134</f>
        <v>18.057637847742797</v>
      </c>
      <c r="F95" s="134">
        <f>+'Tables by type (55-76)'!L164</f>
        <v>86.387547223949113</v>
      </c>
      <c r="G95" s="134">
        <f>+'Tables by type (55-76)'!L195</f>
        <v>0</v>
      </c>
      <c r="H95" s="166">
        <f>+'Tables by type (55-76)'!L9</f>
        <v>22.124686952239358</v>
      </c>
      <c r="I95" s="35"/>
      <c r="J95" s="35"/>
      <c r="K95" s="35"/>
      <c r="L95" s="35"/>
      <c r="M95" s="35"/>
      <c r="N95" s="1"/>
    </row>
    <row r="96" spans="1:40" ht="15.75" customHeight="1">
      <c r="A96" s="8" t="s">
        <v>221</v>
      </c>
      <c r="B96" s="100">
        <f>+'Tables by type (55-76)'!L42</f>
        <v>17.632472874772464</v>
      </c>
      <c r="C96" s="100">
        <f>+'Tables by type (55-76)'!L73</f>
        <v>0</v>
      </c>
      <c r="D96" s="100">
        <f>+'Tables by type (55-76)'!L104</f>
        <v>24.680217354690587</v>
      </c>
      <c r="E96" s="100">
        <f>+'Tables by type (55-76)'!L135</f>
        <v>11.726306761328441</v>
      </c>
      <c r="F96" s="100">
        <f>+'Tables by type (55-76)'!L165</f>
        <v>46.161038961038962</v>
      </c>
      <c r="G96" s="100">
        <f>+'Tables by type (55-76)'!L196</f>
        <v>15.20039100684262</v>
      </c>
      <c r="H96" s="146">
        <f>+'Tables by type (55-76)'!L10</f>
        <v>22.003084957117235</v>
      </c>
      <c r="I96" s="35"/>
      <c r="J96" s="35"/>
      <c r="K96" s="35"/>
      <c r="L96" s="35"/>
      <c r="M96" s="35"/>
      <c r="N96" s="1"/>
    </row>
    <row r="97" spans="1:40" ht="15.75" customHeight="1">
      <c r="A97" s="8" t="s">
        <v>222</v>
      </c>
      <c r="B97" s="100">
        <f>+'Tables by type (55-76)'!L43</f>
        <v>6.8197844263120793</v>
      </c>
      <c r="C97" s="100">
        <f>+'Tables by type (55-76)'!L74</f>
        <v>0</v>
      </c>
      <c r="D97" s="100">
        <f>+'Tables by type (55-76)'!L105</f>
        <v>0</v>
      </c>
      <c r="E97" s="100">
        <f>+'Tables by type (55-76)'!L136</f>
        <v>2.1201413427561837</v>
      </c>
      <c r="F97" s="100">
        <f>+'Tables by type (55-76)'!L166</f>
        <v>0</v>
      </c>
      <c r="G97" s="100">
        <f>+'Tables by type (55-76)'!L197</f>
        <v>0</v>
      </c>
      <c r="H97" s="146">
        <f>+'Tables by type (55-76)'!L11</f>
        <v>6.2334685240698287</v>
      </c>
      <c r="I97" s="35"/>
      <c r="J97" s="35"/>
      <c r="K97" s="35"/>
      <c r="L97" s="35"/>
      <c r="M97" s="35"/>
      <c r="N97" s="1"/>
    </row>
    <row r="98" spans="1:40" ht="15.75" customHeight="1">
      <c r="A98" s="8" t="s">
        <v>115</v>
      </c>
      <c r="B98" s="100">
        <f>+'Tables by type (55-76)'!L44</f>
        <v>17.735023832816434</v>
      </c>
      <c r="C98" s="100">
        <f>+'Tables by type (55-76)'!L75</f>
        <v>11.301497932811168</v>
      </c>
      <c r="D98" s="100">
        <f>+'Tables by type (55-76)'!L106</f>
        <v>15.264433736364442</v>
      </c>
      <c r="E98" s="100">
        <f>+'Tables by type (55-76)'!L137</f>
        <v>39.729299363057322</v>
      </c>
      <c r="F98" s="100">
        <f>+'Tables by type (55-76)'!L167</f>
        <v>0</v>
      </c>
      <c r="G98" s="100">
        <f>+'Tables by type (55-76)'!L198</f>
        <v>0</v>
      </c>
      <c r="H98" s="146">
        <f>+'Tables by type (55-76)'!L12</f>
        <v>16.741066681706936</v>
      </c>
      <c r="I98" s="35"/>
      <c r="J98" s="35"/>
      <c r="K98" s="35"/>
      <c r="L98" s="35"/>
      <c r="M98" s="35"/>
      <c r="N98" s="1"/>
    </row>
    <row r="99" spans="1:40" ht="15.75" customHeight="1">
      <c r="A99" s="8"/>
      <c r="B99" s="100">
        <f>+'Tables by type (55-76)'!L45</f>
        <v>0</v>
      </c>
      <c r="C99" s="100">
        <f>+'Tables by type (55-76)'!L76</f>
        <v>0</v>
      </c>
      <c r="D99" s="100">
        <f>+'Tables by type (55-76)'!L107</f>
        <v>0</v>
      </c>
      <c r="E99" s="100">
        <f>+'Tables by type (55-76)'!L138</f>
        <v>0</v>
      </c>
      <c r="F99" s="100">
        <f>+'Tables by type (55-76)'!L168</f>
        <v>0</v>
      </c>
      <c r="G99" s="100">
        <f>+'Tables by type (55-76)'!L199</f>
        <v>0</v>
      </c>
      <c r="H99" s="146">
        <f>+'Tables by type (55-76)'!L13</f>
        <v>0</v>
      </c>
      <c r="I99" s="35"/>
      <c r="J99" s="35"/>
      <c r="K99" s="35"/>
      <c r="L99" s="35"/>
      <c r="M99" s="35"/>
      <c r="N99" s="1"/>
    </row>
    <row r="100" spans="1:40" ht="15.75" customHeight="1">
      <c r="A100" s="8" t="s">
        <v>224</v>
      </c>
      <c r="B100" s="100">
        <f>+'Tables by type (55-76)'!L46</f>
        <v>1.5611712269887099</v>
      </c>
      <c r="C100" s="100">
        <f>+'Tables by type (55-76)'!L77</f>
        <v>1.6564611631977142</v>
      </c>
      <c r="D100" s="100">
        <f>+'Tables by type (55-76)'!L108</f>
        <v>43.42838413634874</v>
      </c>
      <c r="E100" s="100">
        <f>+'Tables by type (55-76)'!L139</f>
        <v>6.9670378891218929</v>
      </c>
      <c r="F100" s="100">
        <f>+'Tables by type (55-76)'!L169</f>
        <v>5.4801549631834163</v>
      </c>
      <c r="G100" s="100">
        <f>+'Tables by type (55-76)'!L200</f>
        <v>2.1198156682027647</v>
      </c>
      <c r="H100" s="146">
        <f>+'Tables by type (55-76)'!L14</f>
        <v>6.9596299790158058</v>
      </c>
      <c r="I100" s="35"/>
      <c r="J100" s="35"/>
      <c r="K100" s="35"/>
      <c r="L100" s="35"/>
      <c r="M100" s="35"/>
      <c r="N100" s="1"/>
    </row>
    <row r="101" spans="1:40" ht="15.75" customHeight="1">
      <c r="A101" s="8" t="s">
        <v>225</v>
      </c>
      <c r="B101" s="100">
        <f>+'Tables by type (55-76)'!L47</f>
        <v>7.613300569224549</v>
      </c>
      <c r="C101" s="100">
        <f>+'Tables by type (55-76)'!L78</f>
        <v>0</v>
      </c>
      <c r="D101" s="100">
        <f>+'Tables by type (55-76)'!L109</f>
        <v>34.969069927287201</v>
      </c>
      <c r="E101" s="100">
        <f>+'Tables by type (55-76)'!L140</f>
        <v>34.440344403444037</v>
      </c>
      <c r="F101" s="100">
        <f>+'Tables by type (55-76)'!L170</f>
        <v>52.438109527381847</v>
      </c>
      <c r="G101" s="100">
        <f>+'Tables by type (55-76)'!L201</f>
        <v>0</v>
      </c>
      <c r="H101" s="146">
        <f>+'Tables by type (55-76)'!L15</f>
        <v>21.853387002648549</v>
      </c>
      <c r="I101" s="35"/>
      <c r="J101" s="35"/>
      <c r="K101" s="35"/>
      <c r="L101" s="35"/>
      <c r="M101" s="35"/>
      <c r="N101" s="1"/>
    </row>
    <row r="102" spans="1:40" ht="15.75" customHeight="1">
      <c r="A102" s="8" t="s">
        <v>226</v>
      </c>
      <c r="B102" s="100">
        <f>+'Tables by type (55-76)'!L48</f>
        <v>0</v>
      </c>
      <c r="C102" s="100">
        <f>+'Tables by type (55-76)'!L79</f>
        <v>1.3209742551797639</v>
      </c>
      <c r="D102" s="100">
        <f>+'Tables by type (55-76)'!L110</f>
        <v>6.8785401303836693</v>
      </c>
      <c r="E102" s="100">
        <f>+'Tables by type (55-76)'!L141</f>
        <v>23.138224787029404</v>
      </c>
      <c r="F102" s="100">
        <f>+'Tables by type (55-76)'!L171</f>
        <v>0</v>
      </c>
      <c r="G102" s="100">
        <f>+'Tables by type (55-76)'!L202</f>
        <v>0</v>
      </c>
      <c r="H102" s="146">
        <f>+'Tables by type (55-76)'!L16</f>
        <v>6.3753856575674934</v>
      </c>
      <c r="I102" s="35"/>
      <c r="J102" s="35"/>
      <c r="K102" s="35"/>
      <c r="L102" s="35"/>
      <c r="M102" s="35"/>
      <c r="N102" s="1"/>
    </row>
    <row r="103" spans="1:40" ht="15.75" customHeight="1">
      <c r="A103" s="8" t="s">
        <v>33</v>
      </c>
      <c r="B103" s="100">
        <f>+'Tables by type (55-76)'!L49</f>
        <v>2.5760356029783522</v>
      </c>
      <c r="C103" s="100">
        <f>+'Tables by type (55-76)'!L80</f>
        <v>13.761902880398278</v>
      </c>
      <c r="D103" s="100">
        <f>+'Tables by type (55-76)'!L111</f>
        <v>5.5159389635896661</v>
      </c>
      <c r="E103" s="100">
        <f>+'Tables by type (55-76)'!L142</f>
        <v>11.425105905355009</v>
      </c>
      <c r="F103" s="100">
        <f>+'Tables by type (55-76)'!L172</f>
        <v>0</v>
      </c>
      <c r="G103" s="100">
        <f>+'Tables by type (55-76)'!L203</f>
        <v>0</v>
      </c>
      <c r="H103" s="146">
        <f>+'Tables by type (55-76)'!L17</f>
        <v>27.48069450512801</v>
      </c>
      <c r="I103" s="35"/>
      <c r="J103" s="35"/>
      <c r="K103" s="35"/>
      <c r="L103" s="35"/>
      <c r="M103" s="35"/>
      <c r="N103" s="1"/>
    </row>
    <row r="104" spans="1:40" ht="15.75" customHeight="1">
      <c r="A104" s="8"/>
      <c r="B104" s="100">
        <f>+'Tables by type (55-76)'!L50</f>
        <v>0</v>
      </c>
      <c r="C104" s="100">
        <f>+'Tables by type (55-76)'!L81</f>
        <v>0</v>
      </c>
      <c r="D104" s="100">
        <f>+'Tables by type (55-76)'!L112</f>
        <v>0</v>
      </c>
      <c r="E104" s="100">
        <f>+'Tables by type (55-76)'!L143</f>
        <v>0</v>
      </c>
      <c r="F104" s="100">
        <f>+'Tables by type (55-76)'!L173</f>
        <v>0</v>
      </c>
      <c r="G104" s="100">
        <f>+'Tables by type (55-76)'!L204</f>
        <v>0</v>
      </c>
      <c r="H104" s="146">
        <f>+'Tables by type (55-76)'!L18</f>
        <v>0</v>
      </c>
      <c r="I104" s="35"/>
      <c r="J104" s="35"/>
      <c r="K104" s="35"/>
      <c r="L104" s="35"/>
      <c r="M104" s="35"/>
      <c r="N104" s="1"/>
    </row>
    <row r="105" spans="1:40" ht="15.75" customHeight="1">
      <c r="A105" s="8" t="s">
        <v>204</v>
      </c>
      <c r="B105" s="100">
        <f>+'Tables by type (55-76)'!L51</f>
        <v>17.735232753018433</v>
      </c>
      <c r="C105" s="100">
        <f>+'Tables by type (55-76)'!L82</f>
        <v>3.7855345381864591</v>
      </c>
      <c r="D105" s="100">
        <f>+'Tables by type (55-76)'!L113</f>
        <v>0</v>
      </c>
      <c r="E105" s="100">
        <f>+'Tables by type (55-76)'!L144</f>
        <v>26.775933609958507</v>
      </c>
      <c r="F105" s="100">
        <f>+'Tables by type (55-76)'!L174</f>
        <v>15.17059301380991</v>
      </c>
      <c r="G105" s="100">
        <f>+'Tables by type (55-76)'!L205</f>
        <v>0</v>
      </c>
      <c r="H105" s="146">
        <f>+'Tables by type (55-76)'!L19</f>
        <v>13.606384297432347</v>
      </c>
      <c r="I105" s="35"/>
      <c r="J105" s="35"/>
      <c r="K105" s="35"/>
      <c r="L105" s="35"/>
      <c r="M105" s="35"/>
      <c r="N105" s="1"/>
    </row>
    <row r="106" spans="1:40" ht="15.75" customHeight="1">
      <c r="A106" s="8" t="s">
        <v>212</v>
      </c>
      <c r="B106" s="100">
        <f>+'Tables by type (55-76)'!L52</f>
        <v>7.8632444857178623</v>
      </c>
      <c r="C106" s="100">
        <f>+'Tables by type (55-76)'!L83</f>
        <v>8.5356912109530949</v>
      </c>
      <c r="D106" s="100">
        <f>+'Tables by type (55-76)'!L114</f>
        <v>27.864170958567147</v>
      </c>
      <c r="E106" s="100">
        <f>+'Tables by type (55-76)'!L145</f>
        <v>18.799717164574865</v>
      </c>
      <c r="F106" s="100">
        <f>+'Tables by type (55-76)'!L175</f>
        <v>27.69810530723333</v>
      </c>
      <c r="G106" s="100">
        <f>+'Tables by type (55-76)'!L206</f>
        <v>19.982920580700256</v>
      </c>
      <c r="H106" s="146">
        <f>+'Tables by type (55-76)'!L20</f>
        <v>15.792129712979481</v>
      </c>
      <c r="I106" s="35"/>
      <c r="J106" s="35"/>
      <c r="K106" s="35"/>
      <c r="L106" s="35"/>
      <c r="M106" s="35"/>
      <c r="N106" s="1"/>
    </row>
    <row r="107" spans="1:40" ht="15.75" customHeight="1">
      <c r="A107" s="8" t="s">
        <v>205</v>
      </c>
      <c r="B107" s="100">
        <f>+'Tables by type (55-76)'!L53</f>
        <v>11.503411057937074</v>
      </c>
      <c r="C107" s="100">
        <f>+'Tables by type (55-76)'!L84</f>
        <v>0</v>
      </c>
      <c r="D107" s="100">
        <f>+'Tables by type (55-76)'!L115</f>
        <v>11.541690717321719</v>
      </c>
      <c r="E107" s="100">
        <f>+'Tables by type (55-76)'!L146</f>
        <v>0</v>
      </c>
      <c r="F107" s="100">
        <f>+'Tables by type (55-76)'!L176</f>
        <v>33.826874191678186</v>
      </c>
      <c r="G107" s="100">
        <f>+'Tables by type (55-76)'!L207</f>
        <v>0</v>
      </c>
      <c r="H107" s="146">
        <f>+'Tables by type (55-76)'!L21</f>
        <v>15.679145008663202</v>
      </c>
      <c r="I107" s="35"/>
      <c r="J107" s="35"/>
      <c r="K107" s="35"/>
      <c r="L107" s="35"/>
      <c r="M107" s="35"/>
      <c r="N107" s="1"/>
    </row>
    <row r="108" spans="1:40" ht="15.75" customHeight="1">
      <c r="A108" s="8" t="s">
        <v>228</v>
      </c>
      <c r="B108" s="100">
        <f>+'Tables by type (55-76)'!L54</f>
        <v>16.199516969010507</v>
      </c>
      <c r="C108" s="100">
        <f>+'Tables by type (55-76)'!L85</f>
        <v>0</v>
      </c>
      <c r="D108" s="100">
        <f>+'Tables by type (55-76)'!L116</f>
        <v>0.81197665567114952</v>
      </c>
      <c r="E108" s="100">
        <f>+'Tables by type (55-76)'!L147</f>
        <v>3.6782627963660537</v>
      </c>
      <c r="F108" s="100">
        <f>+'Tables by type (55-76)'!L177</f>
        <v>10.130442770530959</v>
      </c>
      <c r="G108" s="100">
        <f>+'Tables by type (55-76)'!L208</f>
        <v>8.0498866213151921</v>
      </c>
      <c r="H108" s="146">
        <f>+'Tables by type (55-76)'!L22</f>
        <v>12.448157878288711</v>
      </c>
      <c r="I108" s="35"/>
      <c r="J108" s="35"/>
      <c r="K108" s="35"/>
      <c r="L108" s="35"/>
      <c r="M108" s="35"/>
      <c r="N108" s="1"/>
    </row>
    <row r="109" spans="1:40" ht="15.75" customHeight="1">
      <c r="A109" s="8"/>
      <c r="B109" s="100">
        <f>+'Tables by type (55-76)'!L55</f>
        <v>0</v>
      </c>
      <c r="C109" s="100">
        <f>+'Tables by type (55-76)'!L86</f>
        <v>0</v>
      </c>
      <c r="D109" s="100">
        <f>+'Tables by type (55-76)'!L117</f>
        <v>0</v>
      </c>
      <c r="E109" s="100">
        <f>+'Tables by type (55-76)'!L148</f>
        <v>0</v>
      </c>
      <c r="F109" s="100">
        <f>+'Tables by type (55-76)'!L178</f>
        <v>0</v>
      </c>
      <c r="G109" s="100">
        <f>+'Tables by type (55-76)'!L209</f>
        <v>0</v>
      </c>
      <c r="H109" s="146">
        <f>+'Tables by type (55-76)'!L23</f>
        <v>0</v>
      </c>
      <c r="I109" s="35"/>
      <c r="J109" s="35"/>
      <c r="K109" s="35"/>
      <c r="L109" s="35"/>
      <c r="M109" s="35"/>
      <c r="N109" s="1"/>
    </row>
    <row r="110" spans="1:40" ht="15.75" customHeight="1">
      <c r="A110" s="8" t="s">
        <v>229</v>
      </c>
      <c r="B110" s="100">
        <f>+'Tables by type (55-76)'!L56</f>
        <v>14.547594334611016</v>
      </c>
      <c r="C110" s="100">
        <f>+'Tables by type (55-76)'!L87</f>
        <v>10.748445094862278</v>
      </c>
      <c r="D110" s="100">
        <f>+'Tables by type (55-76)'!L118</f>
        <v>15.176479257239702</v>
      </c>
      <c r="E110" s="100">
        <f>+'Tables by type (55-76)'!L149</f>
        <v>37.663182450316278</v>
      </c>
      <c r="F110" s="100">
        <f>+'Tables by type (55-76)'!L179</f>
        <v>62.097545425565826</v>
      </c>
      <c r="G110" s="100">
        <f>+'Tables by type (55-76)'!L210</f>
        <v>0</v>
      </c>
      <c r="H110" s="146">
        <f>+'Tables by type (55-76)'!L24</f>
        <v>17.4622199737972</v>
      </c>
      <c r="I110" s="35"/>
      <c r="J110" s="35"/>
      <c r="K110" s="35"/>
      <c r="L110" s="35"/>
      <c r="M110" s="35"/>
      <c r="N110" s="1"/>
    </row>
    <row r="111" spans="1:40" s="41" customFormat="1" ht="27.75" customHeight="1">
      <c r="A111" s="8" t="s">
        <v>213</v>
      </c>
      <c r="B111" s="100">
        <f>+'Tables by type (55-76)'!L57</f>
        <v>8.024558760202142</v>
      </c>
      <c r="C111" s="100">
        <f>+'Tables by type (55-76)'!L88</f>
        <v>31.892692059299467</v>
      </c>
      <c r="D111" s="100">
        <f>+'Tables by type (55-76)'!L119</f>
        <v>24.918514122396708</v>
      </c>
      <c r="E111" s="100">
        <f>+'Tables by type (55-76)'!L150</f>
        <v>22.97592997811816</v>
      </c>
      <c r="F111" s="100">
        <f>+'Tables by type (55-76)'!L180</f>
        <v>63.118838892728526</v>
      </c>
      <c r="G111" s="100">
        <f>+'Tables by type (55-76)'!L211</f>
        <v>0</v>
      </c>
      <c r="H111" s="146">
        <f>+'Tables by type (55-76)'!L25</f>
        <v>16.862670846980023</v>
      </c>
      <c r="I111" s="35"/>
      <c r="J111" s="35"/>
      <c r="K111" s="35"/>
      <c r="L111" s="35"/>
      <c r="M111" s="35"/>
      <c r="N111" s="1"/>
      <c r="O111"/>
      <c r="P111" s="111"/>
      <c r="Q111"/>
      <c r="R111"/>
      <c r="S111"/>
      <c r="T111"/>
      <c r="U111"/>
      <c r="V111"/>
      <c r="W111"/>
      <c r="X111"/>
      <c r="Y111"/>
      <c r="Z111"/>
      <c r="AA111"/>
      <c r="AB111"/>
      <c r="AC111"/>
      <c r="AD111"/>
      <c r="AE111"/>
      <c r="AF111"/>
      <c r="AG111"/>
      <c r="AH111"/>
      <c r="AI111"/>
      <c r="AJ111"/>
      <c r="AK111"/>
      <c r="AL111"/>
      <c r="AM111"/>
      <c r="AN111"/>
    </row>
    <row r="112" spans="1:40" s="41" customFormat="1" ht="15.75" customHeight="1">
      <c r="A112" s="8" t="s">
        <v>230</v>
      </c>
      <c r="B112" s="100">
        <f>+'Tables by type (55-76)'!L58</f>
        <v>0</v>
      </c>
      <c r="C112" s="100">
        <f>+'Tables by type (55-76)'!L89</f>
        <v>0</v>
      </c>
      <c r="D112" s="100">
        <f>+'Tables by type (55-76)'!L120</f>
        <v>0</v>
      </c>
      <c r="E112" s="100">
        <f>+'Tables by type (55-76)'!L151</f>
        <v>0</v>
      </c>
      <c r="F112" s="100">
        <f>+'Tables by type (55-76)'!L181</f>
        <v>0</v>
      </c>
      <c r="G112" s="100">
        <f>+'Tables by type (55-76)'!L212</f>
        <v>0</v>
      </c>
      <c r="H112" s="146">
        <f>+'Tables by type (55-76)'!L26</f>
        <v>0</v>
      </c>
      <c r="I112" s="35"/>
      <c r="J112" s="35"/>
      <c r="K112" s="35"/>
      <c r="L112" s="35"/>
      <c r="M112" s="35"/>
      <c r="N112" s="1"/>
      <c r="O112"/>
      <c r="P112" s="111"/>
      <c r="Q112"/>
      <c r="R112"/>
      <c r="S112"/>
      <c r="T112"/>
      <c r="U112"/>
      <c r="V112"/>
      <c r="W112"/>
      <c r="X112"/>
      <c r="Y112"/>
      <c r="Z112"/>
      <c r="AA112"/>
      <c r="AB112"/>
      <c r="AC112"/>
      <c r="AD112"/>
      <c r="AE112"/>
      <c r="AF112"/>
      <c r="AG112"/>
      <c r="AH112"/>
      <c r="AI112"/>
      <c r="AJ112"/>
      <c r="AK112"/>
      <c r="AL112"/>
      <c r="AM112"/>
      <c r="AN112"/>
    </row>
    <row r="113" spans="1:40" s="41" customFormat="1" ht="13.5" customHeight="1">
      <c r="A113" s="9" t="s">
        <v>206</v>
      </c>
      <c r="B113" s="80">
        <f>+'Tables by type (55-76)'!L59</f>
        <v>21.040514411619228</v>
      </c>
      <c r="C113" s="80">
        <f>+'Tables by type (55-76)'!L90</f>
        <v>0</v>
      </c>
      <c r="D113" s="80">
        <f>+'Tables by type (55-76)'!L121</f>
        <v>23.662457349889198</v>
      </c>
      <c r="E113" s="80">
        <f>+'Tables by type (55-76)'!L152</f>
        <v>0</v>
      </c>
      <c r="F113" s="80">
        <f>+'Tables by type (55-76)'!L182</f>
        <v>0</v>
      </c>
      <c r="G113" s="80">
        <f>+'Tables by type (55-76)'!L213</f>
        <v>52.384883507613281</v>
      </c>
      <c r="H113" s="147">
        <f>+'Tables by type (55-76)'!L27</f>
        <v>23.783073957140065</v>
      </c>
      <c r="I113" s="35"/>
      <c r="J113" s="35"/>
      <c r="K113" s="35"/>
      <c r="L113" s="35"/>
      <c r="M113" s="35"/>
      <c r="N113" s="1"/>
      <c r="O113"/>
      <c r="P113" s="111"/>
      <c r="Q113"/>
      <c r="R113"/>
      <c r="S113"/>
      <c r="T113"/>
      <c r="U113"/>
      <c r="V113"/>
      <c r="W113"/>
      <c r="X113"/>
      <c r="Y113"/>
      <c r="Z113"/>
      <c r="AA113"/>
      <c r="AB113"/>
      <c r="AC113"/>
      <c r="AD113"/>
      <c r="AE113"/>
      <c r="AF113"/>
      <c r="AG113"/>
      <c r="AH113"/>
      <c r="AI113"/>
      <c r="AJ113"/>
      <c r="AK113"/>
      <c r="AL113"/>
      <c r="AM113"/>
      <c r="AN113"/>
    </row>
    <row r="114" spans="1:40" s="41" customFormat="1" ht="28.5" customHeight="1">
      <c r="A114" s="588" t="s">
        <v>896</v>
      </c>
      <c r="B114" s="589"/>
      <c r="C114" s="589"/>
      <c r="D114" s="589"/>
      <c r="E114" s="589"/>
      <c r="F114" s="589"/>
      <c r="G114" s="589"/>
      <c r="H114" s="589"/>
      <c r="I114" s="54"/>
      <c r="J114" s="54"/>
      <c r="K114" s="54"/>
      <c r="L114" s="54"/>
      <c r="M114" s="54"/>
      <c r="N114" s="53"/>
      <c r="P114" s="45"/>
    </row>
    <row r="115" spans="1:40" ht="16.5" customHeight="1">
      <c r="A115" s="573" t="s">
        <v>119</v>
      </c>
      <c r="B115" s="574"/>
      <c r="C115" s="574"/>
      <c r="D115" s="574"/>
      <c r="E115" s="574"/>
      <c r="F115" s="574"/>
      <c r="G115" s="574"/>
      <c r="H115" s="574"/>
      <c r="I115" s="53"/>
      <c r="J115" s="53"/>
      <c r="K115" s="53"/>
      <c r="L115" s="53"/>
      <c r="M115" s="53"/>
      <c r="N115" s="53"/>
      <c r="O115" s="41"/>
      <c r="P115" s="45"/>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row>
    <row r="116" spans="1:40" ht="9.75" customHeight="1">
      <c r="A116" s="559"/>
      <c r="B116" s="560"/>
      <c r="C116" s="560"/>
      <c r="D116" s="560"/>
      <c r="E116" s="560"/>
      <c r="F116" s="560"/>
      <c r="G116" s="560"/>
      <c r="H116" s="148"/>
      <c r="I116" s="560"/>
      <c r="J116" s="560"/>
      <c r="K116" s="560"/>
      <c r="L116" s="560"/>
      <c r="M116" s="560"/>
      <c r="N116" s="560"/>
      <c r="O116" s="560"/>
      <c r="P116" s="148"/>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row>
    <row r="117" spans="1:40">
      <c r="A117" s="41"/>
      <c r="B117" s="41"/>
      <c r="C117" s="41"/>
      <c r="D117" s="41"/>
      <c r="E117" s="41"/>
      <c r="F117" s="41"/>
      <c r="G117" s="41"/>
      <c r="H117" s="572" t="s">
        <v>889</v>
      </c>
      <c r="I117" s="53"/>
      <c r="J117" s="53"/>
      <c r="K117" s="53"/>
      <c r="L117" s="53"/>
      <c r="M117" s="53"/>
      <c r="N117" s="53"/>
      <c r="O117" s="41"/>
      <c r="P117" s="45"/>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row>
  </sheetData>
  <sortState ref="A35:AN50">
    <sortCondition ref="A35:A50"/>
  </sortState>
  <mergeCells count="6">
    <mergeCell ref="A114:H114"/>
    <mergeCell ref="B5:H5"/>
    <mergeCell ref="I5:M5"/>
    <mergeCell ref="A29:P29"/>
    <mergeCell ref="A31:P31"/>
    <mergeCell ref="A54:P54"/>
  </mergeCells>
  <phoneticPr fontId="2" type="noConversion"/>
  <printOptions horizontalCentered="1"/>
  <pageMargins left="0.5" right="0.5" top="1" bottom="1" header="0.75" footer="0.5"/>
  <pageSetup scale="98" firstPageNumber="56" orientation="landscape" useFirstPageNumber="1" r:id="rId1"/>
  <headerFooter alignWithMargins="0">
    <oddHeader>&amp;R&amp;8SREB-State Data Exchange</oddHeader>
    <oddFooter>&amp;C&amp;P</oddFooter>
  </headerFooter>
  <rowBreaks count="3" manualBreakCount="3">
    <brk id="28" max="15" man="1"/>
    <brk id="57" max="15" man="1"/>
    <brk id="87" max="15" man="1"/>
  </rowBreaks>
</worksheet>
</file>

<file path=xl/worksheets/sheet3.xml><?xml version="1.0" encoding="utf-8"?>
<worksheet xmlns="http://schemas.openxmlformats.org/spreadsheetml/2006/main" xmlns:r="http://schemas.openxmlformats.org/officeDocument/2006/relationships">
  <sheetPr codeName="Sheet7" enableFormatConditionsCalculation="0">
    <tabColor indexed="16"/>
  </sheetPr>
  <dimension ref="A1:AO532"/>
  <sheetViews>
    <sheetView showGridLines="0" showZeros="0" view="pageBreakPreview" topLeftCell="A163" zoomScaleNormal="100" zoomScaleSheetLayoutView="100" workbookViewId="0">
      <selection activeCell="Q133" sqref="Q133"/>
    </sheetView>
  </sheetViews>
  <sheetFormatPr defaultRowHeight="12.75"/>
  <cols>
    <col min="1" max="1" width="13.42578125" style="22" customWidth="1"/>
    <col min="2" max="3" width="9.42578125" style="22" bestFit="1" customWidth="1"/>
    <col min="4" max="4" width="9.85546875" style="22" bestFit="1" customWidth="1"/>
    <col min="5" max="5" width="5.7109375" style="22" bestFit="1" customWidth="1"/>
    <col min="6" max="6" width="11.42578125" style="22" customWidth="1"/>
    <col min="7" max="7" width="7.85546875" style="22" bestFit="1" customWidth="1"/>
    <col min="8" max="8" width="12.28515625" style="24" bestFit="1" customWidth="1"/>
    <col min="9" max="9" width="13" style="28" customWidth="1"/>
    <col min="10" max="11" width="9" style="22" customWidth="1"/>
    <col min="12" max="12" width="10" style="22" bestFit="1" customWidth="1"/>
    <col min="13" max="13" width="6.42578125" style="22" bestFit="1" customWidth="1"/>
    <col min="14" max="14" width="11.28515625" style="22" customWidth="1"/>
    <col min="15" max="15" width="7.85546875" style="22" bestFit="1" customWidth="1"/>
    <col min="16" max="16" width="12.28515625" style="22" bestFit="1" customWidth="1"/>
    <col min="17" max="17" width="11.5703125" style="38" bestFit="1" customWidth="1"/>
    <col min="18" max="18" width="11.5703125" style="14" bestFit="1" customWidth="1"/>
    <col min="19" max="16384" width="9.140625" style="22"/>
  </cols>
  <sheetData>
    <row r="1" spans="1:41" ht="18">
      <c r="A1" s="15" t="s">
        <v>37</v>
      </c>
      <c r="B1" s="16"/>
      <c r="C1" s="16"/>
      <c r="D1" s="16"/>
      <c r="E1" s="16"/>
      <c r="F1" s="16"/>
      <c r="G1" s="16"/>
      <c r="H1" s="30"/>
      <c r="I1" s="15" t="s">
        <v>14</v>
      </c>
      <c r="J1" s="17"/>
      <c r="K1" s="17"/>
      <c r="L1" s="16"/>
      <c r="M1" s="17"/>
      <c r="N1" s="17"/>
      <c r="O1" s="17"/>
      <c r="P1" s="17"/>
      <c r="Q1" s="36"/>
      <c r="R1" s="37"/>
    </row>
    <row r="2" spans="1:41">
      <c r="A2" s="58"/>
      <c r="B2" s="17"/>
      <c r="C2" s="17"/>
      <c r="D2" s="17"/>
      <c r="E2" s="17"/>
      <c r="F2" s="17"/>
      <c r="G2" s="17"/>
      <c r="H2" s="27"/>
      <c r="I2" s="58"/>
      <c r="J2" s="17"/>
      <c r="K2" s="17"/>
      <c r="L2" s="17"/>
      <c r="M2" s="17"/>
      <c r="N2" s="17"/>
      <c r="O2" s="17"/>
      <c r="P2" s="17"/>
      <c r="Q2" s="603"/>
      <c r="R2" s="602"/>
      <c r="S2" s="602"/>
      <c r="T2" s="602"/>
      <c r="U2" s="602"/>
      <c r="V2" s="602"/>
      <c r="W2" s="602"/>
      <c r="X2" s="602"/>
    </row>
    <row r="3" spans="1:41" ht="15.75">
      <c r="A3" s="26" t="s">
        <v>23</v>
      </c>
      <c r="B3" s="17"/>
      <c r="C3" s="17"/>
      <c r="D3" s="17"/>
      <c r="E3" s="17"/>
      <c r="F3" s="17"/>
      <c r="G3" s="17"/>
      <c r="H3" s="27"/>
      <c r="I3" s="26" t="s">
        <v>24</v>
      </c>
      <c r="J3" s="17"/>
      <c r="K3" s="17"/>
      <c r="L3" s="17"/>
      <c r="M3" s="17"/>
      <c r="N3" s="17"/>
      <c r="O3" s="17"/>
      <c r="P3" s="17"/>
      <c r="R3" s="39" t="s">
        <v>196</v>
      </c>
    </row>
    <row r="4" spans="1:41" ht="15.75">
      <c r="A4" s="26" t="s">
        <v>752</v>
      </c>
      <c r="B4" s="17"/>
      <c r="C4" s="17"/>
      <c r="D4" s="17"/>
      <c r="E4" s="17"/>
      <c r="F4" s="17"/>
      <c r="G4" s="17"/>
      <c r="H4" s="27"/>
      <c r="I4" s="26" t="s">
        <v>752</v>
      </c>
      <c r="J4" s="17"/>
      <c r="K4" s="17"/>
      <c r="L4" s="17"/>
      <c r="M4" s="17"/>
      <c r="N4" s="17"/>
      <c r="O4" s="17"/>
      <c r="P4" s="17"/>
      <c r="R4" s="39" t="s">
        <v>196</v>
      </c>
    </row>
    <row r="5" spans="1:41">
      <c r="A5" s="18"/>
      <c r="B5" s="19"/>
      <c r="C5" s="19"/>
      <c r="D5" s="19"/>
      <c r="E5" s="19"/>
      <c r="F5" s="19"/>
      <c r="G5" s="19"/>
      <c r="H5" s="19"/>
      <c r="I5" s="20"/>
      <c r="L5" s="21"/>
      <c r="P5" s="18"/>
    </row>
    <row r="6" spans="1:41" s="67" customFormat="1" ht="12">
      <c r="A6" s="63"/>
      <c r="B6" s="64" t="s">
        <v>215</v>
      </c>
      <c r="C6" s="64"/>
      <c r="D6" s="64"/>
      <c r="E6" s="64"/>
      <c r="F6" s="64"/>
      <c r="G6" s="64"/>
      <c r="H6" s="65"/>
      <c r="I6" s="63"/>
      <c r="J6" s="64" t="s">
        <v>215</v>
      </c>
      <c r="K6" s="64"/>
      <c r="L6" s="64"/>
      <c r="M6" s="64"/>
      <c r="N6" s="64"/>
      <c r="O6" s="64"/>
      <c r="P6" s="65"/>
      <c r="Q6" s="129"/>
      <c r="R6" s="66"/>
    </row>
    <row r="7" spans="1:41" s="67" customFormat="1" ht="12">
      <c r="A7" s="63"/>
      <c r="B7" s="64" t="s">
        <v>209</v>
      </c>
      <c r="C7" s="64"/>
      <c r="D7" s="597" t="s">
        <v>30</v>
      </c>
      <c r="E7" s="598"/>
      <c r="F7" s="598"/>
      <c r="G7" s="598"/>
      <c r="H7" s="68" t="s">
        <v>196</v>
      </c>
      <c r="I7" s="63"/>
      <c r="J7" s="64" t="s">
        <v>209</v>
      </c>
      <c r="K7" s="64"/>
      <c r="L7" s="597" t="s">
        <v>30</v>
      </c>
      <c r="M7" s="598"/>
      <c r="N7" s="598"/>
      <c r="O7" s="598"/>
      <c r="P7" s="68" t="s">
        <v>196</v>
      </c>
      <c r="Q7" s="129"/>
      <c r="R7" s="66"/>
    </row>
    <row r="8" spans="1:41" s="67" customFormat="1" ht="40.5" customHeight="1">
      <c r="A8" s="63"/>
      <c r="B8" s="69" t="s">
        <v>22</v>
      </c>
      <c r="C8" s="70" t="s">
        <v>21</v>
      </c>
      <c r="D8" s="71" t="s">
        <v>28</v>
      </c>
      <c r="E8" s="72" t="s">
        <v>195</v>
      </c>
      <c r="F8" s="69" t="s">
        <v>210</v>
      </c>
      <c r="G8" s="73" t="s">
        <v>32</v>
      </c>
      <c r="H8" s="74" t="s">
        <v>31</v>
      </c>
      <c r="I8" s="63"/>
      <c r="J8" s="69" t="s">
        <v>22</v>
      </c>
      <c r="K8" s="70" t="s">
        <v>21</v>
      </c>
      <c r="L8" s="71" t="s">
        <v>28</v>
      </c>
      <c r="M8" s="72" t="s">
        <v>195</v>
      </c>
      <c r="N8" s="69" t="s">
        <v>210</v>
      </c>
      <c r="O8" s="73" t="s">
        <v>32</v>
      </c>
      <c r="P8" s="74" t="s">
        <v>31</v>
      </c>
      <c r="Q8" s="578" t="s">
        <v>211</v>
      </c>
      <c r="R8" s="578" t="s">
        <v>211</v>
      </c>
      <c r="S8" s="577"/>
      <c r="T8" s="578" t="s">
        <v>890</v>
      </c>
    </row>
    <row r="9" spans="1:41" ht="15.75" customHeight="1">
      <c r="A9" s="94" t="s">
        <v>220</v>
      </c>
      <c r="B9" s="89">
        <f>(' Pivot Table for Data Exchange'!$J$7)*100</f>
        <v>91.477084269542701</v>
      </c>
      <c r="C9" s="89">
        <f>(' Pivot Table for Data Exchange'!$J$10)*100</f>
        <v>0.47509281847167834</v>
      </c>
      <c r="D9" s="83">
        <f>SUM(E9:G9)</f>
        <v>8.0376249170785989</v>
      </c>
      <c r="E9" s="89">
        <f>(' Pivot Table for Data Exchange'!$J$13)*100</f>
        <v>7.7769240439964902</v>
      </c>
      <c r="F9" s="89">
        <f>(' Pivot Table for Data Exchange'!$J$16)*100</f>
        <v>0.19921197920010272</v>
      </c>
      <c r="G9" s="90">
        <f>(' Pivot Table for Data Exchange'!$J$19)*100</f>
        <v>6.148889388200552E-2</v>
      </c>
      <c r="H9" s="156">
        <f>(' Pivot Table for Data Exchange'!$J$22)*100</f>
        <v>1.0197994907021035E-2</v>
      </c>
      <c r="I9" s="25" t="s">
        <v>220</v>
      </c>
      <c r="J9" s="89">
        <f>(' Pivot Table for Data Exchange'!$J$25)*100</f>
        <v>75.045571351549427</v>
      </c>
      <c r="K9" s="89">
        <f>(' Pivot Table for Data Exchange'!$J$28)*100</f>
        <v>2.8297416962112178</v>
      </c>
      <c r="L9" s="83">
        <f>SUM(M9:O9)</f>
        <v>22.124686952239358</v>
      </c>
      <c r="M9" s="89">
        <f>(' Pivot Table for Data Exchange'!$J$31)*100</f>
        <v>19.511773863400311</v>
      </c>
      <c r="N9" s="89">
        <f>(' Pivot Table for Data Exchange'!$J$34)*100</f>
        <v>1.0909116370909957</v>
      </c>
      <c r="O9" s="90">
        <f>(' Pivot Table for Data Exchange'!$J$37)*100</f>
        <v>1.5220014517480493</v>
      </c>
      <c r="P9" s="89">
        <f>(' Pivot Table for Data Exchange'!$J$40)*100</f>
        <v>0</v>
      </c>
      <c r="Q9" s="23">
        <f>SUM(B9,C9,D9,H9)</f>
        <v>100</v>
      </c>
      <c r="R9" s="23">
        <f>SUM(J9,K9,L9,P9)</f>
        <v>100</v>
      </c>
      <c r="S9" s="31"/>
      <c r="T9" s="169">
        <v>7</v>
      </c>
      <c r="U9" s="128">
        <f>T9+3</f>
        <v>10</v>
      </c>
      <c r="V9" s="128">
        <f>U9+3</f>
        <v>13</v>
      </c>
      <c r="W9" s="128">
        <f>V9+3</f>
        <v>16</v>
      </c>
      <c r="X9" s="128">
        <f>W9+3</f>
        <v>19</v>
      </c>
      <c r="Y9" s="128">
        <f>X9+3</f>
        <v>22</v>
      </c>
      <c r="Z9" s="128">
        <f t="shared" ref="Z9:AE9" si="0">Y9+3</f>
        <v>25</v>
      </c>
      <c r="AA9" s="128">
        <f t="shared" si="0"/>
        <v>28</v>
      </c>
      <c r="AB9" s="128">
        <f t="shared" si="0"/>
        <v>31</v>
      </c>
      <c r="AC9" s="128">
        <f t="shared" si="0"/>
        <v>34</v>
      </c>
      <c r="AD9" s="128">
        <f t="shared" si="0"/>
        <v>37</v>
      </c>
      <c r="AE9" s="128">
        <f t="shared" si="0"/>
        <v>40</v>
      </c>
      <c r="AF9" s="31"/>
      <c r="AG9" s="31"/>
      <c r="AH9" s="31"/>
      <c r="AI9" s="31"/>
      <c r="AJ9" s="31"/>
      <c r="AK9" s="31"/>
      <c r="AL9" s="31"/>
      <c r="AM9" s="31"/>
      <c r="AN9" s="31"/>
      <c r="AO9" s="31"/>
    </row>
    <row r="10" spans="1:41" ht="15.75" customHeight="1">
      <c r="A10" s="24" t="s">
        <v>221</v>
      </c>
      <c r="B10" s="89">
        <f>(' Pivot Table for Data Exchange'!$J$43)*100</f>
        <v>86.109874747843861</v>
      </c>
      <c r="C10" s="89">
        <f>(' Pivot Table for Data Exchange'!$J$46)*100</f>
        <v>5.5372904275739581</v>
      </c>
      <c r="D10" s="83">
        <f t="shared" ref="D10:D26" si="1">SUM(E10:G10)</f>
        <v>8.2808129758301909</v>
      </c>
      <c r="E10" s="89">
        <f>(' Pivot Table for Data Exchange'!$J$49)*100</f>
        <v>6.9679014129242045</v>
      </c>
      <c r="F10" s="89">
        <f>(' Pivot Table for Data Exchange'!$J$52)*100</f>
        <v>0.87589403227811058</v>
      </c>
      <c r="G10" s="91">
        <f>(' Pivot Table for Data Exchange'!$J$55)*100</f>
        <v>0.43701753062787546</v>
      </c>
      <c r="H10" s="89">
        <f>(' Pivot Table for Data Exchange'!$J$58)*100</f>
        <v>7.2021848751993078E-2</v>
      </c>
      <c r="I10" s="24" t="s">
        <v>221</v>
      </c>
      <c r="J10" s="89">
        <f>(' Pivot Table for Data Exchange'!$J$61)*100</f>
        <v>67.347773162731485</v>
      </c>
      <c r="K10" s="89">
        <f>(' Pivot Table for Data Exchange'!$J$64)*100</f>
        <v>10.639385238666035</v>
      </c>
      <c r="L10" s="83">
        <f t="shared" ref="L10:L26" si="2">SUM(M10:O10)</f>
        <v>22.003084957117235</v>
      </c>
      <c r="M10" s="89">
        <f>(' Pivot Table for Data Exchange'!$J$67)*100</f>
        <v>14.601975487599772</v>
      </c>
      <c r="N10" s="89">
        <f>(' Pivot Table for Data Exchange'!$J$70)*100</f>
        <v>2.5051338518291382</v>
      </c>
      <c r="O10" s="91">
        <f>(' Pivot Table for Data Exchange'!$J$73)*100</f>
        <v>4.8959756176883262</v>
      </c>
      <c r="P10" s="156">
        <f>(' Pivot Table for Data Exchange'!$J$76)*100</f>
        <v>9.756641485239595E-3</v>
      </c>
      <c r="Q10" s="23">
        <f>SUM(B10,C10,D10,H10)</f>
        <v>100</v>
      </c>
      <c r="R10" s="23">
        <f t="shared" ref="R10:R74" si="3">SUM(J10,K10,L10,P10)</f>
        <v>100</v>
      </c>
      <c r="S10" s="31"/>
      <c r="T10" s="128">
        <f>T9+36</f>
        <v>43</v>
      </c>
      <c r="U10" s="128">
        <f t="shared" ref="U10:W27" si="4">T10+3</f>
        <v>46</v>
      </c>
      <c r="V10" s="128">
        <f t="shared" si="4"/>
        <v>49</v>
      </c>
      <c r="W10" s="128">
        <f t="shared" si="4"/>
        <v>52</v>
      </c>
      <c r="X10" s="128">
        <f t="shared" ref="X10:Y27" si="5">W10+3</f>
        <v>55</v>
      </c>
      <c r="Y10" s="128">
        <f t="shared" si="5"/>
        <v>58</v>
      </c>
      <c r="Z10" s="128">
        <f t="shared" ref="Z10:AE10" si="6">Y10+3</f>
        <v>61</v>
      </c>
      <c r="AA10" s="128">
        <f t="shared" si="6"/>
        <v>64</v>
      </c>
      <c r="AB10" s="128">
        <f t="shared" si="6"/>
        <v>67</v>
      </c>
      <c r="AC10" s="128">
        <f t="shared" si="6"/>
        <v>70</v>
      </c>
      <c r="AD10" s="128">
        <f t="shared" si="6"/>
        <v>73</v>
      </c>
      <c r="AE10" s="128">
        <f t="shared" si="6"/>
        <v>76</v>
      </c>
      <c r="AF10" s="31"/>
      <c r="AG10" s="31"/>
      <c r="AH10" s="31"/>
      <c r="AI10" s="31"/>
      <c r="AJ10" s="31"/>
      <c r="AK10" s="31"/>
      <c r="AL10" s="31"/>
      <c r="AM10" s="31"/>
      <c r="AN10" s="31"/>
      <c r="AO10" s="31"/>
    </row>
    <row r="11" spans="1:41" ht="15.75" customHeight="1">
      <c r="A11" s="24" t="s">
        <v>222</v>
      </c>
      <c r="B11" s="89">
        <f>(' Pivot Table for Data Exchange'!$J$79)*100</f>
        <v>95.915511450229445</v>
      </c>
      <c r="C11" s="89">
        <f>(' Pivot Table for Data Exchange'!$J$82)*100</f>
        <v>0</v>
      </c>
      <c r="D11" s="83">
        <f t="shared" si="1"/>
        <v>4.0844885497705627</v>
      </c>
      <c r="E11" s="89">
        <f>(' Pivot Table for Data Exchange'!$J$85)*100</f>
        <v>4.0844885497705627</v>
      </c>
      <c r="F11" s="89">
        <f>(' Pivot Table for Data Exchange'!$J$88)*100</f>
        <v>0</v>
      </c>
      <c r="G11" s="91">
        <f>(' Pivot Table for Data Exchange'!$J$91)*100</f>
        <v>0</v>
      </c>
      <c r="H11" s="89">
        <f>(' Pivot Table for Data Exchange'!$J$94)*100</f>
        <v>0</v>
      </c>
      <c r="I11" s="24" t="s">
        <v>222</v>
      </c>
      <c r="J11" s="89">
        <f>(' Pivot Table for Data Exchange'!$J$97)*100</f>
        <v>93.766531475930165</v>
      </c>
      <c r="K11" s="89">
        <f>(' Pivot Table for Data Exchange'!$J$100)*100</f>
        <v>0</v>
      </c>
      <c r="L11" s="83">
        <f t="shared" si="2"/>
        <v>6.2334685240698287</v>
      </c>
      <c r="M11" s="89">
        <f>(' Pivot Table for Data Exchange'!$J$103)*100</f>
        <v>5.8208428848527598</v>
      </c>
      <c r="N11" s="89">
        <f>(' Pivot Table for Data Exchange'!$J$106)*100</f>
        <v>0.41262563921706924</v>
      </c>
      <c r="O11" s="91">
        <f>(' Pivot Table for Data Exchange'!$J$109)*100</f>
        <v>0</v>
      </c>
      <c r="P11" s="89">
        <f>(' Pivot Table for Data Exchange'!$J$112)*100</f>
        <v>0</v>
      </c>
      <c r="Q11" s="23">
        <f t="shared" ref="Q11:Q74" si="7">SUM(B11,C11,D11,H11)</f>
        <v>100.00000000000001</v>
      </c>
      <c r="R11" s="23">
        <f t="shared" si="3"/>
        <v>100</v>
      </c>
      <c r="S11" s="31"/>
      <c r="T11" s="128">
        <f>T10+36</f>
        <v>79</v>
      </c>
      <c r="U11" s="128">
        <f t="shared" si="4"/>
        <v>82</v>
      </c>
      <c r="V11" s="128">
        <f t="shared" si="4"/>
        <v>85</v>
      </c>
      <c r="W11" s="128">
        <f t="shared" si="4"/>
        <v>88</v>
      </c>
      <c r="X11" s="128">
        <f t="shared" si="5"/>
        <v>91</v>
      </c>
      <c r="Y11" s="128">
        <f t="shared" si="5"/>
        <v>94</v>
      </c>
      <c r="Z11" s="128">
        <f t="shared" ref="Z11:AE11" si="8">Y11+3</f>
        <v>97</v>
      </c>
      <c r="AA11" s="128">
        <f t="shared" si="8"/>
        <v>100</v>
      </c>
      <c r="AB11" s="128">
        <f t="shared" si="8"/>
        <v>103</v>
      </c>
      <c r="AC11" s="128">
        <f t="shared" si="8"/>
        <v>106</v>
      </c>
      <c r="AD11" s="128">
        <f t="shared" si="8"/>
        <v>109</v>
      </c>
      <c r="AE11" s="128">
        <f t="shared" si="8"/>
        <v>112</v>
      </c>
      <c r="AF11" s="31"/>
      <c r="AG11" s="31"/>
      <c r="AH11" s="31"/>
      <c r="AI11" s="31"/>
      <c r="AJ11" s="31"/>
      <c r="AK11" s="31"/>
      <c r="AL11" s="31"/>
      <c r="AM11" s="31"/>
      <c r="AN11" s="31"/>
      <c r="AO11" s="31"/>
    </row>
    <row r="12" spans="1:41" ht="15.75" customHeight="1">
      <c r="A12" s="24" t="s">
        <v>111</v>
      </c>
      <c r="B12" s="89">
        <f>(' Pivot Table for Data Exchange'!$J$115)*100</f>
        <v>76.565347912146294</v>
      </c>
      <c r="C12" s="89">
        <f>(' Pivot Table for Data Exchange'!$J$118)*100</f>
        <v>8.5655208451366338</v>
      </c>
      <c r="D12" s="83">
        <f t="shared" si="1"/>
        <v>14.758472858104735</v>
      </c>
      <c r="E12" s="89">
        <f>(' Pivot Table for Data Exchange'!$J$121)*100</f>
        <v>10.485248722278046</v>
      </c>
      <c r="F12" s="89">
        <f>(' Pivot Table for Data Exchange'!$J$124)*100</f>
        <v>0.73636989929618768</v>
      </c>
      <c r="G12" s="91">
        <f>(' Pivot Table for Data Exchange'!$J$127)*100</f>
        <v>3.5368542365305027</v>
      </c>
      <c r="H12" s="89">
        <f>(' Pivot Table for Data Exchange'!$J$130)*100</f>
        <v>0.11065838461233513</v>
      </c>
      <c r="I12" s="24" t="s">
        <v>111</v>
      </c>
      <c r="J12" s="89">
        <f>(' Pivot Table for Data Exchange'!$J$133)*100</f>
        <v>71.93684751664523</v>
      </c>
      <c r="K12" s="89">
        <f>(' Pivot Table for Data Exchange'!$J$136)*100</f>
        <v>11.322085801647834</v>
      </c>
      <c r="L12" s="83">
        <f t="shared" si="2"/>
        <v>16.741066681706936</v>
      </c>
      <c r="M12" s="89">
        <f>(' Pivot Table for Data Exchange'!$J$139)*100</f>
        <v>13.313133760070123</v>
      </c>
      <c r="N12" s="89">
        <f>(' Pivot Table for Data Exchange'!$J$142)*100</f>
        <v>0.42860141224419607</v>
      </c>
      <c r="O12" s="91">
        <f>(' Pivot Table for Data Exchange'!$J$145)*100</f>
        <v>2.9993315093926167</v>
      </c>
      <c r="P12" s="89">
        <f>(' Pivot Table for Data Exchange'!$J$148)*100</f>
        <v>0</v>
      </c>
      <c r="Q12" s="23">
        <f t="shared" si="7"/>
        <v>100</v>
      </c>
      <c r="R12" s="23">
        <f t="shared" si="3"/>
        <v>100</v>
      </c>
      <c r="S12" s="31"/>
      <c r="T12" s="128">
        <f>T11+36</f>
        <v>115</v>
      </c>
      <c r="U12" s="128">
        <f t="shared" si="4"/>
        <v>118</v>
      </c>
      <c r="V12" s="128">
        <f t="shared" si="4"/>
        <v>121</v>
      </c>
      <c r="W12" s="128">
        <f t="shared" si="4"/>
        <v>124</v>
      </c>
      <c r="X12" s="128">
        <f t="shared" si="5"/>
        <v>127</v>
      </c>
      <c r="Y12" s="128">
        <f t="shared" si="5"/>
        <v>130</v>
      </c>
      <c r="Z12" s="128">
        <f t="shared" ref="Z12:AE12" si="9">Y12+3</f>
        <v>133</v>
      </c>
      <c r="AA12" s="128">
        <f t="shared" si="9"/>
        <v>136</v>
      </c>
      <c r="AB12" s="128">
        <f t="shared" si="9"/>
        <v>139</v>
      </c>
      <c r="AC12" s="128">
        <f t="shared" si="9"/>
        <v>142</v>
      </c>
      <c r="AD12" s="128">
        <f t="shared" si="9"/>
        <v>145</v>
      </c>
      <c r="AE12" s="128">
        <f t="shared" si="9"/>
        <v>148</v>
      </c>
      <c r="AF12" s="31"/>
      <c r="AG12" s="31"/>
      <c r="AH12" s="31"/>
      <c r="AI12" s="31"/>
      <c r="AJ12" s="31"/>
      <c r="AK12" s="31"/>
      <c r="AL12" s="31"/>
      <c r="AM12" s="31"/>
      <c r="AN12" s="31"/>
      <c r="AO12" s="31"/>
    </row>
    <row r="13" spans="1:41" ht="9.75" customHeight="1">
      <c r="A13" s="24"/>
      <c r="B13" s="89"/>
      <c r="C13" s="89"/>
      <c r="D13" s="83"/>
      <c r="E13" s="89"/>
      <c r="F13" s="89"/>
      <c r="G13" s="91"/>
      <c r="H13" s="89"/>
      <c r="I13" s="24"/>
      <c r="J13" s="89"/>
      <c r="K13" s="89"/>
      <c r="L13" s="83"/>
      <c r="M13" s="89"/>
      <c r="N13" s="89"/>
      <c r="O13" s="91"/>
      <c r="P13" s="89"/>
      <c r="Q13" s="23">
        <f t="shared" si="7"/>
        <v>0</v>
      </c>
      <c r="R13" s="23">
        <f t="shared" si="3"/>
        <v>0</v>
      </c>
      <c r="S13" s="31"/>
      <c r="T13" s="128"/>
      <c r="U13" s="128"/>
      <c r="V13" s="128"/>
      <c r="W13" s="128"/>
      <c r="X13" s="128"/>
      <c r="Y13" s="128"/>
      <c r="Z13" s="128"/>
      <c r="AA13" s="128"/>
      <c r="AB13" s="128"/>
      <c r="AC13" s="128"/>
      <c r="AD13" s="128"/>
      <c r="AE13" s="128"/>
      <c r="AF13" s="31"/>
      <c r="AG13" s="31"/>
      <c r="AH13" s="31"/>
      <c r="AI13" s="31"/>
      <c r="AJ13" s="31"/>
      <c r="AK13" s="31"/>
      <c r="AL13" s="31"/>
      <c r="AM13" s="31"/>
      <c r="AN13" s="31"/>
      <c r="AO13" s="31"/>
    </row>
    <row r="14" spans="1:41" ht="15.75" customHeight="1">
      <c r="A14" s="24" t="s">
        <v>224</v>
      </c>
      <c r="B14" s="89">
        <f>(' Pivot Table for Data Exchange'!$J$151)*100</f>
        <v>94.720819625548884</v>
      </c>
      <c r="C14" s="89">
        <f>(' Pivot Table for Data Exchange'!$J$154)*100</f>
        <v>2.3780901654793802</v>
      </c>
      <c r="D14" s="83">
        <f t="shared" si="1"/>
        <v>2.8881758155781476</v>
      </c>
      <c r="E14" s="89">
        <f>(' Pivot Table for Data Exchange'!$J$157)*100</f>
        <v>2.7025505957648668</v>
      </c>
      <c r="F14" s="89">
        <f>(' Pivot Table for Data Exchange'!$J$160)*100</f>
        <v>0.10401677802908151</v>
      </c>
      <c r="G14" s="91">
        <f>(' Pivot Table for Data Exchange'!$J$163)*100</f>
        <v>8.1608441784199265E-2</v>
      </c>
      <c r="H14" s="156">
        <f>(' Pivot Table for Data Exchange'!$J$166)*100</f>
        <v>1.291439339357694E-2</v>
      </c>
      <c r="I14" s="24" t="s">
        <v>224</v>
      </c>
      <c r="J14" s="89">
        <f>(' Pivot Table for Data Exchange'!$J$169)*100</f>
        <v>85.14832194024055</v>
      </c>
      <c r="K14" s="89">
        <f>(' Pivot Table for Data Exchange'!$J$172)*100</f>
        <v>7.8906965869375414</v>
      </c>
      <c r="L14" s="83">
        <f t="shared" si="2"/>
        <v>6.9596299790158058</v>
      </c>
      <c r="M14" s="89">
        <f>(' Pivot Table for Data Exchange'!$J$175)*100</f>
        <v>6.7754889479341509</v>
      </c>
      <c r="N14" s="89">
        <f>(' Pivot Table for Data Exchange'!$J$178)*100</f>
        <v>0.14731282486532365</v>
      </c>
      <c r="O14" s="159">
        <f>(' Pivot Table for Data Exchange'!$J$181)*100</f>
        <v>3.6828206216330914E-2</v>
      </c>
      <c r="P14" s="158">
        <f>(' Pivot Table for Data Exchange'!$J$184)*100</f>
        <v>1.3514938061038866E-3</v>
      </c>
      <c r="Q14" s="23">
        <f t="shared" si="7"/>
        <v>99.999999999999986</v>
      </c>
      <c r="R14" s="23">
        <f t="shared" si="3"/>
        <v>99.999999999999986</v>
      </c>
      <c r="S14" s="31"/>
      <c r="T14" s="128">
        <f>T12+36</f>
        <v>151</v>
      </c>
      <c r="U14" s="128">
        <f t="shared" si="4"/>
        <v>154</v>
      </c>
      <c r="V14" s="128">
        <f t="shared" si="4"/>
        <v>157</v>
      </c>
      <c r="W14" s="128">
        <f t="shared" si="4"/>
        <v>160</v>
      </c>
      <c r="X14" s="128">
        <f t="shared" si="5"/>
        <v>163</v>
      </c>
      <c r="Y14" s="128">
        <f t="shared" si="5"/>
        <v>166</v>
      </c>
      <c r="Z14" s="128">
        <f t="shared" ref="Z14:AE14" si="10">Y14+3</f>
        <v>169</v>
      </c>
      <c r="AA14" s="128">
        <f t="shared" si="10"/>
        <v>172</v>
      </c>
      <c r="AB14" s="128">
        <f t="shared" si="10"/>
        <v>175</v>
      </c>
      <c r="AC14" s="128">
        <f t="shared" si="10"/>
        <v>178</v>
      </c>
      <c r="AD14" s="128">
        <f t="shared" si="10"/>
        <v>181</v>
      </c>
      <c r="AE14" s="128">
        <f t="shared" si="10"/>
        <v>184</v>
      </c>
      <c r="AF14" s="31"/>
      <c r="AG14" s="31"/>
      <c r="AH14" s="31"/>
      <c r="AI14" s="31"/>
      <c r="AJ14" s="31"/>
      <c r="AK14" s="31"/>
      <c r="AL14" s="31"/>
      <c r="AM14" s="31"/>
      <c r="AN14" s="31"/>
      <c r="AO14" s="31"/>
    </row>
    <row r="15" spans="1:41" ht="15.75" customHeight="1">
      <c r="A15" s="24" t="s">
        <v>225</v>
      </c>
      <c r="B15" s="89">
        <f>(' Pivot Table for Data Exchange'!$J$187)*100</f>
        <v>87.895779640267591</v>
      </c>
      <c r="C15" s="89">
        <f>(' Pivot Table for Data Exchange'!$J$190)*100</f>
        <v>4.7778568035106046</v>
      </c>
      <c r="D15" s="83">
        <f t="shared" si="1"/>
        <v>7.3263635562218008</v>
      </c>
      <c r="E15" s="89">
        <f>(' Pivot Table for Data Exchange'!$J$193)*100</f>
        <v>5.6708653131593003</v>
      </c>
      <c r="F15" s="89">
        <f>(' Pivot Table for Data Exchange'!$J$196)*100</f>
        <v>1.19106361234647</v>
      </c>
      <c r="G15" s="91">
        <f>(' Pivot Table for Data Exchange'!$J$199)*100</f>
        <v>0.46443463071603031</v>
      </c>
      <c r="H15" s="89">
        <f>(' Pivot Table for Data Exchange'!$J$202)*100</f>
        <v>0</v>
      </c>
      <c r="I15" s="24" t="s">
        <v>225</v>
      </c>
      <c r="J15" s="89">
        <f>(' Pivot Table for Data Exchange'!$J$205)*100</f>
        <v>71.570725283933626</v>
      </c>
      <c r="K15" s="89">
        <f>(' Pivot Table for Data Exchange'!$J$208)*100</f>
        <v>6.5758877134178277</v>
      </c>
      <c r="L15" s="83">
        <f t="shared" si="2"/>
        <v>21.853387002648549</v>
      </c>
      <c r="M15" s="89">
        <f>(' Pivot Table for Data Exchange'!$J$211)*100</f>
        <v>19.857247602088911</v>
      </c>
      <c r="N15" s="89">
        <f>(' Pivot Table for Data Exchange'!$J$214)*100</f>
        <v>1.6049918448577714</v>
      </c>
      <c r="O15" s="91">
        <f>(' Pivot Table for Data Exchange'!$J$217)*100</f>
        <v>0.39114755570186599</v>
      </c>
      <c r="P15" s="89">
        <f>(' Pivot Table for Data Exchange'!$J$220)*100</f>
        <v>0</v>
      </c>
      <c r="Q15" s="23">
        <f t="shared" si="7"/>
        <v>100</v>
      </c>
      <c r="R15" s="23">
        <f t="shared" si="3"/>
        <v>100</v>
      </c>
      <c r="S15" s="31"/>
      <c r="T15" s="128">
        <f>T14+36</f>
        <v>187</v>
      </c>
      <c r="U15" s="128">
        <f t="shared" si="4"/>
        <v>190</v>
      </c>
      <c r="V15" s="128">
        <f t="shared" si="4"/>
        <v>193</v>
      </c>
      <c r="W15" s="128">
        <f t="shared" si="4"/>
        <v>196</v>
      </c>
      <c r="X15" s="128">
        <f t="shared" si="5"/>
        <v>199</v>
      </c>
      <c r="Y15" s="128">
        <f t="shared" si="5"/>
        <v>202</v>
      </c>
      <c r="Z15" s="128">
        <f t="shared" ref="Z15:AE15" si="11">Y15+3</f>
        <v>205</v>
      </c>
      <c r="AA15" s="128">
        <f t="shared" si="11"/>
        <v>208</v>
      </c>
      <c r="AB15" s="128">
        <f t="shared" si="11"/>
        <v>211</v>
      </c>
      <c r="AC15" s="128">
        <f t="shared" si="11"/>
        <v>214</v>
      </c>
      <c r="AD15" s="128">
        <f t="shared" si="11"/>
        <v>217</v>
      </c>
      <c r="AE15" s="128">
        <f t="shared" si="11"/>
        <v>220</v>
      </c>
      <c r="AF15" s="31"/>
      <c r="AG15" s="31"/>
      <c r="AH15" s="31"/>
      <c r="AI15" s="31"/>
      <c r="AJ15" s="31"/>
      <c r="AK15" s="31"/>
      <c r="AL15" s="31"/>
      <c r="AM15" s="31"/>
      <c r="AN15" s="31"/>
      <c r="AO15" s="31"/>
    </row>
    <row r="16" spans="1:41" ht="15.75" customHeight="1">
      <c r="A16" s="24" t="s">
        <v>226</v>
      </c>
      <c r="B16" s="89">
        <f>(' Pivot Table for Data Exchange'!$J$223)*100</f>
        <v>95.138973242397228</v>
      </c>
      <c r="C16" s="89">
        <f>(' Pivot Table for Data Exchange'!$J$226)*100</f>
        <v>0</v>
      </c>
      <c r="D16" s="83">
        <f t="shared" si="1"/>
        <v>3.7172176940115169</v>
      </c>
      <c r="E16" s="89">
        <f>(' Pivot Table for Data Exchange'!$J$229)*100</f>
        <v>3.4987792801443982</v>
      </c>
      <c r="F16" s="89">
        <f>(' Pivot Table for Data Exchange'!$J$232)*100</f>
        <v>0.15299806502447175</v>
      </c>
      <c r="G16" s="91">
        <f>(' Pivot Table for Data Exchange'!$J$235)*100</f>
        <v>6.5440348842646989E-2</v>
      </c>
      <c r="H16" s="89">
        <f>(' Pivot Table for Data Exchange'!$J$238)*100</f>
        <v>1.1438090635912546</v>
      </c>
      <c r="I16" s="24" t="s">
        <v>226</v>
      </c>
      <c r="J16" s="89">
        <f>(' Pivot Table for Data Exchange'!$J$241)*100</f>
        <v>93.624614342432508</v>
      </c>
      <c r="K16" s="89">
        <f>(' Pivot Table for Data Exchange'!$J$244)*100</f>
        <v>0</v>
      </c>
      <c r="L16" s="83">
        <f t="shared" si="2"/>
        <v>6.3753856575674934</v>
      </c>
      <c r="M16" s="89">
        <f>(' Pivot Table for Data Exchange'!$J$247)*100</f>
        <v>5.7394860084322268</v>
      </c>
      <c r="N16" s="89">
        <f>(' Pivot Table for Data Exchange'!$J$250)*100</f>
        <v>0.60312131670561364</v>
      </c>
      <c r="O16" s="159">
        <f>(' Pivot Table for Data Exchange'!$J$253)*100</f>
        <v>3.2778332429652918E-2</v>
      </c>
      <c r="P16" s="89">
        <f>(' Pivot Table for Data Exchange'!$J$256)*100</f>
        <v>0</v>
      </c>
      <c r="Q16" s="23">
        <f t="shared" si="7"/>
        <v>100</v>
      </c>
      <c r="R16" s="23">
        <f t="shared" si="3"/>
        <v>100</v>
      </c>
      <c r="S16" s="31"/>
      <c r="T16" s="128">
        <f>T15+36</f>
        <v>223</v>
      </c>
      <c r="U16" s="128">
        <f t="shared" si="4"/>
        <v>226</v>
      </c>
      <c r="V16" s="128">
        <f t="shared" si="4"/>
        <v>229</v>
      </c>
      <c r="W16" s="128">
        <f t="shared" si="4"/>
        <v>232</v>
      </c>
      <c r="X16" s="128">
        <f t="shared" si="5"/>
        <v>235</v>
      </c>
      <c r="Y16" s="128">
        <f t="shared" si="5"/>
        <v>238</v>
      </c>
      <c r="Z16" s="128">
        <f t="shared" ref="Z16:AE16" si="12">Y16+3</f>
        <v>241</v>
      </c>
      <c r="AA16" s="128">
        <f t="shared" si="12"/>
        <v>244</v>
      </c>
      <c r="AB16" s="128">
        <f t="shared" si="12"/>
        <v>247</v>
      </c>
      <c r="AC16" s="128">
        <f t="shared" si="12"/>
        <v>250</v>
      </c>
      <c r="AD16" s="128">
        <f t="shared" si="12"/>
        <v>253</v>
      </c>
      <c r="AE16" s="128">
        <f t="shared" si="12"/>
        <v>256</v>
      </c>
      <c r="AF16" s="31"/>
      <c r="AG16" s="31"/>
      <c r="AH16" s="31"/>
      <c r="AI16" s="31"/>
      <c r="AJ16" s="31"/>
      <c r="AK16" s="31"/>
      <c r="AL16" s="31"/>
      <c r="AM16" s="31"/>
      <c r="AN16" s="31"/>
      <c r="AO16" s="31"/>
    </row>
    <row r="17" spans="1:41" ht="15.75" customHeight="1">
      <c r="A17" s="24" t="s">
        <v>114</v>
      </c>
      <c r="B17" s="89">
        <f>(' Pivot Table for Data Exchange'!$J$259)*100</f>
        <v>84.129468558854597</v>
      </c>
      <c r="C17" s="89">
        <f>(' Pivot Table for Data Exchange'!$J$262)*100</f>
        <v>3.2399045827934985</v>
      </c>
      <c r="D17" s="83">
        <f t="shared" si="1"/>
        <v>12.63062685835191</v>
      </c>
      <c r="E17" s="89">
        <f>(' Pivot Table for Data Exchange'!$J$265)*100</f>
        <v>12.541218039215124</v>
      </c>
      <c r="F17" s="156">
        <f>(' Pivot Table for Data Exchange'!$J$268)*100</f>
        <v>4.3162878203965395E-2</v>
      </c>
      <c r="G17" s="159">
        <f>(' Pivot Table for Data Exchange'!$J$271)*100</f>
        <v>4.6245940932820064E-2</v>
      </c>
      <c r="H17" s="89">
        <f>(' Pivot Table for Data Exchange'!$J$274)*100</f>
        <v>0</v>
      </c>
      <c r="I17" s="24" t="s">
        <v>114</v>
      </c>
      <c r="J17" s="89">
        <f>(' Pivot Table for Data Exchange'!$J$277)*100</f>
        <v>57.994881465371385</v>
      </c>
      <c r="K17" s="89">
        <f>(' Pivot Table for Data Exchange'!$J$280)*100</f>
        <v>14.524424029500604</v>
      </c>
      <c r="L17" s="83">
        <f t="shared" si="2"/>
        <v>27.48069450512801</v>
      </c>
      <c r="M17" s="89">
        <f>(' Pivot Table for Data Exchange'!$J$283)*100</f>
        <v>27.185731773409284</v>
      </c>
      <c r="N17" s="89">
        <f>(' Pivot Table for Data Exchange'!$J$286)*100</f>
        <v>0.29496273171872639</v>
      </c>
      <c r="O17" s="91">
        <f>(' Pivot Table for Data Exchange'!$J$289)*100</f>
        <v>0</v>
      </c>
      <c r="P17" s="89">
        <f>(' Pivot Table for Data Exchange'!$J$292)*100</f>
        <v>0</v>
      </c>
      <c r="Q17" s="23">
        <f t="shared" si="7"/>
        <v>100</v>
      </c>
      <c r="R17" s="23">
        <f>SUM(J17,K17,L17,P17)</f>
        <v>100</v>
      </c>
      <c r="S17" s="31"/>
      <c r="T17" s="128">
        <f>T16+36</f>
        <v>259</v>
      </c>
      <c r="U17" s="128">
        <f t="shared" si="4"/>
        <v>262</v>
      </c>
      <c r="V17" s="128">
        <f t="shared" si="4"/>
        <v>265</v>
      </c>
      <c r="W17" s="128">
        <f t="shared" si="4"/>
        <v>268</v>
      </c>
      <c r="X17" s="128">
        <f t="shared" si="5"/>
        <v>271</v>
      </c>
      <c r="Y17" s="128">
        <f t="shared" si="5"/>
        <v>274</v>
      </c>
      <c r="Z17" s="128">
        <f t="shared" ref="Z17:AE17" si="13">Y17+3</f>
        <v>277</v>
      </c>
      <c r="AA17" s="128">
        <f t="shared" si="13"/>
        <v>280</v>
      </c>
      <c r="AB17" s="128">
        <f t="shared" si="13"/>
        <v>283</v>
      </c>
      <c r="AC17" s="128">
        <f t="shared" si="13"/>
        <v>286</v>
      </c>
      <c r="AD17" s="128">
        <f t="shared" si="13"/>
        <v>289</v>
      </c>
      <c r="AE17" s="128">
        <f t="shared" si="13"/>
        <v>292</v>
      </c>
      <c r="AF17" s="31"/>
      <c r="AG17" s="31"/>
      <c r="AH17" s="31"/>
      <c r="AI17" s="31"/>
      <c r="AJ17" s="31"/>
      <c r="AK17" s="31"/>
      <c r="AL17" s="31"/>
      <c r="AM17" s="31"/>
      <c r="AN17" s="31"/>
      <c r="AO17" s="31"/>
    </row>
    <row r="18" spans="1:41" ht="11.25" customHeight="1">
      <c r="A18" s="24"/>
      <c r="B18" s="89"/>
      <c r="C18" s="89"/>
      <c r="D18" s="83"/>
      <c r="E18" s="89"/>
      <c r="F18" s="89"/>
      <c r="G18" s="91"/>
      <c r="H18" s="89"/>
      <c r="I18" s="24"/>
      <c r="J18" s="89"/>
      <c r="K18" s="89"/>
      <c r="L18" s="83"/>
      <c r="M18" s="89"/>
      <c r="N18" s="89"/>
      <c r="O18" s="91"/>
      <c r="P18" s="89"/>
      <c r="Q18" s="23">
        <f t="shared" si="7"/>
        <v>0</v>
      </c>
      <c r="R18" s="23">
        <f t="shared" si="3"/>
        <v>0</v>
      </c>
      <c r="S18" s="31"/>
      <c r="T18" s="128"/>
      <c r="U18" s="128"/>
      <c r="V18" s="128"/>
      <c r="W18" s="128"/>
      <c r="X18" s="128"/>
      <c r="Y18" s="128"/>
      <c r="Z18" s="128"/>
      <c r="AA18" s="128"/>
      <c r="AB18" s="128"/>
      <c r="AC18" s="128"/>
      <c r="AD18" s="128"/>
      <c r="AE18" s="128"/>
      <c r="AF18" s="31"/>
      <c r="AG18" s="31"/>
      <c r="AH18" s="31"/>
      <c r="AI18" s="31"/>
      <c r="AJ18" s="31"/>
      <c r="AK18" s="31"/>
      <c r="AL18" s="31"/>
      <c r="AM18" s="31"/>
      <c r="AN18" s="31"/>
      <c r="AO18" s="31"/>
    </row>
    <row r="19" spans="1:41" ht="15.75" customHeight="1">
      <c r="A19" s="24" t="s">
        <v>204</v>
      </c>
      <c r="B19" s="89">
        <f>(' Pivot Table for Data Exchange'!$J$295)*100</f>
        <v>88.591500975797175</v>
      </c>
      <c r="C19" s="89">
        <f>(' Pivot Table for Data Exchange'!$J$298)*100</f>
        <v>5.636199188704774</v>
      </c>
      <c r="D19" s="83">
        <f t="shared" si="1"/>
        <v>5.5485400202923332</v>
      </c>
      <c r="E19" s="89">
        <f>(' Pivot Table for Data Exchange'!$J$301)*100</f>
        <v>4.5905931957639581</v>
      </c>
      <c r="F19" s="89">
        <f>(' Pivot Table for Data Exchange'!$J$304)*100</f>
        <v>0.67552636974915936</v>
      </c>
      <c r="G19" s="91">
        <f>(' Pivot Table for Data Exchange'!$J$307)*100</f>
        <v>0.28242045477921635</v>
      </c>
      <c r="H19" s="89">
        <f>(' Pivot Table for Data Exchange'!$J$310)*100</f>
        <v>0.22375981520571372</v>
      </c>
      <c r="I19" s="24" t="s">
        <v>204</v>
      </c>
      <c r="J19" s="89">
        <f>(' Pivot Table for Data Exchange'!$J$313)*100</f>
        <v>76.992848868770551</v>
      </c>
      <c r="K19" s="89">
        <f>(' Pivot Table for Data Exchange'!$J$316)*100</f>
        <v>9.3994845030327117</v>
      </c>
      <c r="L19" s="83">
        <f t="shared" si="2"/>
        <v>13.606384297432347</v>
      </c>
      <c r="M19" s="89">
        <f>(' Pivot Table for Data Exchange'!$J$319)*100</f>
        <v>12.839123056734589</v>
      </c>
      <c r="N19" s="89">
        <f>(' Pivot Table for Data Exchange'!$J$322)*100</f>
        <v>0.64031049502241943</v>
      </c>
      <c r="O19" s="91">
        <f>(' Pivot Table for Data Exchange'!$J$325)*100</f>
        <v>0.12695074567533948</v>
      </c>
      <c r="P19" s="158">
        <f>(' Pivot Table for Data Exchange'!$J$328)*100</f>
        <v>1.2823307643973687E-3</v>
      </c>
      <c r="Q19" s="23">
        <f t="shared" si="7"/>
        <v>100</v>
      </c>
      <c r="R19" s="23">
        <f t="shared" si="3"/>
        <v>100</v>
      </c>
      <c r="S19" s="31"/>
      <c r="T19" s="128">
        <f>T17+36</f>
        <v>295</v>
      </c>
      <c r="U19" s="128">
        <f t="shared" si="4"/>
        <v>298</v>
      </c>
      <c r="V19" s="128">
        <f t="shared" si="4"/>
        <v>301</v>
      </c>
      <c r="W19" s="128">
        <f t="shared" si="4"/>
        <v>304</v>
      </c>
      <c r="X19" s="128">
        <f t="shared" si="5"/>
        <v>307</v>
      </c>
      <c r="Y19" s="128">
        <f t="shared" si="5"/>
        <v>310</v>
      </c>
      <c r="Z19" s="128">
        <f t="shared" ref="Z19:AE19" si="14">Y19+3</f>
        <v>313</v>
      </c>
      <c r="AA19" s="128">
        <f t="shared" si="14"/>
        <v>316</v>
      </c>
      <c r="AB19" s="128">
        <f t="shared" si="14"/>
        <v>319</v>
      </c>
      <c r="AC19" s="128">
        <f t="shared" si="14"/>
        <v>322</v>
      </c>
      <c r="AD19" s="128">
        <f t="shared" si="14"/>
        <v>325</v>
      </c>
      <c r="AE19" s="128">
        <f t="shared" si="14"/>
        <v>328</v>
      </c>
      <c r="AF19" s="31"/>
      <c r="AG19" s="31"/>
      <c r="AH19" s="31"/>
      <c r="AI19" s="31"/>
      <c r="AJ19" s="31"/>
      <c r="AK19" s="31"/>
      <c r="AL19" s="31"/>
      <c r="AM19" s="31"/>
      <c r="AN19" s="31"/>
      <c r="AO19" s="31"/>
    </row>
    <row r="20" spans="1:41" ht="15.75" customHeight="1">
      <c r="A20" s="24" t="s">
        <v>212</v>
      </c>
      <c r="B20" s="89">
        <f>(' Pivot Table for Data Exchange'!$J$331)*100</f>
        <v>91.979489354932781</v>
      </c>
      <c r="C20" s="89">
        <f>(' Pivot Table for Data Exchange'!$J$334)*100</f>
        <v>1.8558634037701833</v>
      </c>
      <c r="D20" s="83">
        <f t="shared" si="1"/>
        <v>6.1646472412970281</v>
      </c>
      <c r="E20" s="89">
        <f>(' Pivot Table for Data Exchange'!$J$337)*100</f>
        <v>5.9046053503725116</v>
      </c>
      <c r="F20" s="156">
        <f>(' Pivot Table for Data Exchange'!$J$340)*100</f>
        <v>2.2419598589495451E-2</v>
      </c>
      <c r="G20" s="91">
        <f>(' Pivot Table for Data Exchange'!$J$343)*100</f>
        <v>0.23762229233502136</v>
      </c>
      <c r="H20" s="89">
        <f>(' Pivot Table for Data Exchange'!$J$346)*100</f>
        <v>0</v>
      </c>
      <c r="I20" s="24" t="s">
        <v>212</v>
      </c>
      <c r="J20" s="89">
        <f>(' Pivot Table for Data Exchange'!$J$349)*100</f>
        <v>73.916512545213507</v>
      </c>
      <c r="K20" s="89">
        <f>(' Pivot Table for Data Exchange'!$J$352)*100</f>
        <v>10.291357741807012</v>
      </c>
      <c r="L20" s="83">
        <f t="shared" si="2"/>
        <v>15.792129712979481</v>
      </c>
      <c r="M20" s="89">
        <f>(' Pivot Table for Data Exchange'!$J$355)*100</f>
        <v>15.443515169369929</v>
      </c>
      <c r="N20" s="89">
        <f>(' Pivot Table for Data Exchange'!$J$358)*100</f>
        <v>0.33088375696274352</v>
      </c>
      <c r="O20" s="159">
        <f>(' Pivot Table for Data Exchange'!$J$361)*100</f>
        <v>1.7730786646808185E-2</v>
      </c>
      <c r="P20" s="89">
        <f>(' Pivot Table for Data Exchange'!$J$364)*100</f>
        <v>0</v>
      </c>
      <c r="Q20" s="23">
        <f t="shared" si="7"/>
        <v>100</v>
      </c>
      <c r="R20" s="23">
        <f t="shared" si="3"/>
        <v>100</v>
      </c>
      <c r="S20" s="31"/>
      <c r="T20" s="128">
        <f>T19+36</f>
        <v>331</v>
      </c>
      <c r="U20" s="128">
        <f t="shared" si="4"/>
        <v>334</v>
      </c>
      <c r="V20" s="128">
        <f t="shared" si="4"/>
        <v>337</v>
      </c>
      <c r="W20" s="128">
        <f t="shared" si="4"/>
        <v>340</v>
      </c>
      <c r="X20" s="128">
        <f t="shared" si="5"/>
        <v>343</v>
      </c>
      <c r="Y20" s="128">
        <f t="shared" si="5"/>
        <v>346</v>
      </c>
      <c r="Z20" s="128">
        <f t="shared" ref="Z20:AE20" si="15">Y20+3</f>
        <v>349</v>
      </c>
      <c r="AA20" s="128">
        <f t="shared" si="15"/>
        <v>352</v>
      </c>
      <c r="AB20" s="128">
        <f t="shared" si="15"/>
        <v>355</v>
      </c>
      <c r="AC20" s="128">
        <f t="shared" si="15"/>
        <v>358</v>
      </c>
      <c r="AD20" s="128">
        <f t="shared" si="15"/>
        <v>361</v>
      </c>
      <c r="AE20" s="128">
        <f t="shared" si="15"/>
        <v>364</v>
      </c>
      <c r="AF20" s="31"/>
      <c r="AG20" s="31"/>
      <c r="AH20" s="31"/>
      <c r="AI20" s="31"/>
      <c r="AJ20" s="31"/>
      <c r="AK20" s="31"/>
      <c r="AL20" s="31"/>
      <c r="AM20" s="31"/>
      <c r="AN20" s="31"/>
      <c r="AO20" s="31"/>
    </row>
    <row r="21" spans="1:41" ht="15.75" customHeight="1">
      <c r="A21" s="24" t="s">
        <v>205</v>
      </c>
      <c r="B21" s="89">
        <f>(' Pivot Table for Data Exchange'!$J$367)*100</f>
        <v>90.887665903725463</v>
      </c>
      <c r="C21" s="89">
        <f>(' Pivot Table for Data Exchange'!$J$370)*100</f>
        <v>0.5884453993205504</v>
      </c>
      <c r="D21" s="83">
        <f t="shared" si="1"/>
        <v>8.466263243507802</v>
      </c>
      <c r="E21" s="89">
        <f>(' Pivot Table for Data Exchange'!$J$373)*100</f>
        <v>6.595437827488916</v>
      </c>
      <c r="F21" s="89">
        <f>(' Pivot Table for Data Exchange'!$J$376)*100</f>
        <v>1.4571457361662925</v>
      </c>
      <c r="G21" s="91">
        <f>(' Pivot Table for Data Exchange'!$J$379)*100</f>
        <v>0.41367967985259396</v>
      </c>
      <c r="H21" s="89">
        <f>(' Pivot Table for Data Exchange'!$J$382)*100</f>
        <v>5.7625453446191049E-2</v>
      </c>
      <c r="I21" s="24" t="s">
        <v>205</v>
      </c>
      <c r="J21" s="89">
        <f>(' Pivot Table for Data Exchange'!$J$385)*100</f>
        <v>75.753032120485145</v>
      </c>
      <c r="K21" s="89">
        <f>(' Pivot Table for Data Exchange'!$J$388)*100</f>
        <v>8.4607823537251772</v>
      </c>
      <c r="L21" s="83">
        <f t="shared" si="2"/>
        <v>15.679145008663202</v>
      </c>
      <c r="M21" s="89">
        <f>(' Pivot Table for Data Exchange'!$J$391)*100</f>
        <v>10.734872717579636</v>
      </c>
      <c r="N21" s="89">
        <f>(' Pivot Table for Data Exchange'!$J$394)*100</f>
        <v>3.8030621084899372</v>
      </c>
      <c r="O21" s="91">
        <f>(' Pivot Table for Data Exchange'!$J$397)*100</f>
        <v>1.1412101825936292</v>
      </c>
      <c r="P21" s="89">
        <f>(' Pivot Table for Data Exchange'!$J$400)*100</f>
        <v>0.10704051712648274</v>
      </c>
      <c r="Q21" s="23">
        <f t="shared" si="7"/>
        <v>100</v>
      </c>
      <c r="R21" s="23">
        <f t="shared" si="3"/>
        <v>100</v>
      </c>
      <c r="S21" s="31"/>
      <c r="T21" s="128">
        <f>T20+36</f>
        <v>367</v>
      </c>
      <c r="U21" s="128">
        <f t="shared" si="4"/>
        <v>370</v>
      </c>
      <c r="V21" s="128">
        <f t="shared" si="4"/>
        <v>373</v>
      </c>
      <c r="W21" s="128">
        <f t="shared" si="4"/>
        <v>376</v>
      </c>
      <c r="X21" s="128">
        <f t="shared" si="5"/>
        <v>379</v>
      </c>
      <c r="Y21" s="128">
        <f t="shared" si="5"/>
        <v>382</v>
      </c>
      <c r="Z21" s="128">
        <f t="shared" ref="Z21:AE21" si="16">Y21+3</f>
        <v>385</v>
      </c>
      <c r="AA21" s="128">
        <f t="shared" si="16"/>
        <v>388</v>
      </c>
      <c r="AB21" s="128">
        <f t="shared" si="16"/>
        <v>391</v>
      </c>
      <c r="AC21" s="128">
        <f t="shared" si="16"/>
        <v>394</v>
      </c>
      <c r="AD21" s="128">
        <f t="shared" si="16"/>
        <v>397</v>
      </c>
      <c r="AE21" s="128">
        <f t="shared" si="16"/>
        <v>400</v>
      </c>
      <c r="AF21" s="31"/>
      <c r="AG21" s="31"/>
      <c r="AH21" s="31"/>
      <c r="AI21" s="31"/>
      <c r="AJ21" s="31"/>
      <c r="AK21" s="31"/>
      <c r="AL21" s="31"/>
      <c r="AM21" s="31"/>
      <c r="AN21" s="31"/>
      <c r="AO21" s="31"/>
    </row>
    <row r="22" spans="1:41" ht="15.75" customHeight="1">
      <c r="A22" s="24" t="s">
        <v>228</v>
      </c>
      <c r="B22" s="89">
        <f>(' Pivot Table for Data Exchange'!$J$403)*100</f>
        <v>96.295538372661426</v>
      </c>
      <c r="C22" s="89">
        <f>(' Pivot Table for Data Exchange'!$J$406)*100</f>
        <v>2.0480380393725279</v>
      </c>
      <c r="D22" s="83">
        <f>SUM(E22:G22)</f>
        <v>1.6564235879660489</v>
      </c>
      <c r="E22" s="89">
        <f>(' Pivot Table for Data Exchange'!$J$409)*100</f>
        <v>1.3328667288805935</v>
      </c>
      <c r="F22" s="89">
        <f>(' Pivot Table for Data Exchange'!$J$412)*100</f>
        <v>9.5053992800959872E-2</v>
      </c>
      <c r="G22" s="91">
        <f>(' Pivot Table for Data Exchange'!$J$415)*100</f>
        <v>0.2285028662844954</v>
      </c>
      <c r="H22" s="89">
        <f>(' Pivot Table for Data Exchange'!$J$418)*100</f>
        <v>0</v>
      </c>
      <c r="I22" s="24" t="s">
        <v>228</v>
      </c>
      <c r="J22" s="89">
        <f>(' Pivot Table for Data Exchange'!$J$421)*100</f>
        <v>73.927016776987642</v>
      </c>
      <c r="K22" s="89">
        <f>(' Pivot Table for Data Exchange'!$J$424)*100</f>
        <v>13.624825344723646</v>
      </c>
      <c r="L22" s="83">
        <f>SUM(M22:O22)</f>
        <v>12.448157878288711</v>
      </c>
      <c r="M22" s="89">
        <f>(' Pivot Table for Data Exchange'!$J$427)*100</f>
        <v>8.9173489899733251</v>
      </c>
      <c r="N22" s="156">
        <f>(' Pivot Table for Data Exchange'!$J$430)*100</f>
        <v>3.3872538444323023E-2</v>
      </c>
      <c r="O22" s="91">
        <f>(' Pivot Table for Data Exchange'!$J$433)*100</f>
        <v>3.4969363498710626</v>
      </c>
      <c r="P22" s="89">
        <f>(' Pivot Table for Data Exchange'!$J$436)*100</f>
        <v>0</v>
      </c>
      <c r="Q22" s="23">
        <f t="shared" si="7"/>
        <v>100</v>
      </c>
      <c r="R22" s="23">
        <f t="shared" si="3"/>
        <v>100</v>
      </c>
      <c r="S22" s="31"/>
      <c r="T22" s="128">
        <f>T21+36</f>
        <v>403</v>
      </c>
      <c r="U22" s="128">
        <f t="shared" si="4"/>
        <v>406</v>
      </c>
      <c r="V22" s="128">
        <f t="shared" si="4"/>
        <v>409</v>
      </c>
      <c r="W22" s="128">
        <f t="shared" si="4"/>
        <v>412</v>
      </c>
      <c r="X22" s="128">
        <f t="shared" si="5"/>
        <v>415</v>
      </c>
      <c r="Y22" s="128">
        <f t="shared" si="5"/>
        <v>418</v>
      </c>
      <c r="Z22" s="128">
        <f t="shared" ref="Z22:AE22" si="17">Y22+3</f>
        <v>421</v>
      </c>
      <c r="AA22" s="128">
        <f t="shared" si="17"/>
        <v>424</v>
      </c>
      <c r="AB22" s="128">
        <f t="shared" si="17"/>
        <v>427</v>
      </c>
      <c r="AC22" s="128">
        <f t="shared" si="17"/>
        <v>430</v>
      </c>
      <c r="AD22" s="128">
        <f t="shared" si="17"/>
        <v>433</v>
      </c>
      <c r="AE22" s="128">
        <f t="shared" si="17"/>
        <v>436</v>
      </c>
      <c r="AF22" s="31"/>
      <c r="AG22" s="31"/>
      <c r="AH22" s="31"/>
      <c r="AI22" s="31"/>
      <c r="AJ22" s="31"/>
      <c r="AK22" s="31"/>
      <c r="AL22" s="31"/>
      <c r="AM22" s="31"/>
      <c r="AN22" s="31"/>
      <c r="AO22" s="31"/>
    </row>
    <row r="23" spans="1:41" ht="9.75" customHeight="1">
      <c r="A23" s="24"/>
      <c r="B23" s="89"/>
      <c r="C23" s="89"/>
      <c r="D23" s="83"/>
      <c r="E23" s="89"/>
      <c r="F23" s="89"/>
      <c r="G23" s="91"/>
      <c r="H23" s="89"/>
      <c r="I23" s="24"/>
      <c r="J23" s="89"/>
      <c r="K23" s="89"/>
      <c r="L23" s="83"/>
      <c r="M23" s="89"/>
      <c r="N23" s="89"/>
      <c r="O23" s="91"/>
      <c r="P23" s="89"/>
      <c r="Q23" s="23">
        <f t="shared" si="7"/>
        <v>0</v>
      </c>
      <c r="R23" s="23">
        <f t="shared" si="3"/>
        <v>0</v>
      </c>
      <c r="S23" s="31"/>
      <c r="T23" s="128"/>
      <c r="U23" s="128"/>
      <c r="V23" s="128"/>
      <c r="W23" s="128"/>
      <c r="X23" s="128"/>
      <c r="Y23" s="128"/>
      <c r="Z23" s="128"/>
      <c r="AA23" s="128"/>
      <c r="AB23" s="128"/>
      <c r="AC23" s="128"/>
      <c r="AD23" s="128"/>
      <c r="AE23" s="128"/>
      <c r="AF23" s="31"/>
      <c r="AG23" s="31"/>
      <c r="AH23" s="31"/>
      <c r="AI23" s="31"/>
      <c r="AJ23" s="31"/>
      <c r="AK23" s="31"/>
      <c r="AL23" s="31"/>
      <c r="AM23" s="31"/>
      <c r="AN23" s="31"/>
      <c r="AO23" s="31"/>
    </row>
    <row r="24" spans="1:41" ht="15.75" customHeight="1">
      <c r="A24" s="24" t="s">
        <v>229</v>
      </c>
      <c r="B24" s="89">
        <f>(' Pivot Table for Data Exchange'!$J$439)*100</f>
        <v>86.414177046188797</v>
      </c>
      <c r="C24" s="89">
        <f>(' Pivot Table for Data Exchange'!$J$442)*100</f>
        <v>1.6511365692158324</v>
      </c>
      <c r="D24" s="83">
        <f>SUM(E24:G24)</f>
        <v>11.418939183826037</v>
      </c>
      <c r="E24" s="89">
        <f>(' Pivot Table for Data Exchange'!$J$445)*100</f>
        <v>5.871433569291411</v>
      </c>
      <c r="F24" s="89">
        <f>(' Pivot Table for Data Exchange'!$J$448)*100</f>
        <v>0.61362323608541003</v>
      </c>
      <c r="G24" s="91">
        <f>(' Pivot Table for Data Exchange'!$J$451)*100</f>
        <v>4.9338823784492156</v>
      </c>
      <c r="H24" s="89">
        <f>(' Pivot Table for Data Exchange'!$J$454)*100</f>
        <v>0.5157472007693289</v>
      </c>
      <c r="I24" s="24" t="s">
        <v>229</v>
      </c>
      <c r="J24" s="89">
        <f>(' Pivot Table for Data Exchange'!$J$457)*100</f>
        <v>71.970528336641109</v>
      </c>
      <c r="K24" s="89">
        <f>(' Pivot Table for Data Exchange'!$J$460)*100</f>
        <v>5.2797343399359198</v>
      </c>
      <c r="L24" s="83">
        <f>SUM(M24:O24)</f>
        <v>17.4622199737972</v>
      </c>
      <c r="M24" s="89">
        <f>(' Pivot Table for Data Exchange'!$J$463)*100</f>
        <v>12.493806021455162</v>
      </c>
      <c r="N24" s="89">
        <f>(' Pivot Table for Data Exchange'!$J$466)*100</f>
        <v>0.41146177893658142</v>
      </c>
      <c r="O24" s="91">
        <f>(' Pivot Table for Data Exchange'!$J$469)*100</f>
        <v>4.5569521734054561</v>
      </c>
      <c r="P24" s="89">
        <f>(' Pivot Table for Data Exchange'!$J$472)*100</f>
        <v>5.2875173496257668</v>
      </c>
      <c r="Q24" s="23">
        <f t="shared" si="7"/>
        <v>100</v>
      </c>
      <c r="R24" s="23">
        <f t="shared" si="3"/>
        <v>100</v>
      </c>
      <c r="S24" s="31"/>
      <c r="T24" s="128">
        <f>T22+36</f>
        <v>439</v>
      </c>
      <c r="U24" s="128">
        <f t="shared" si="4"/>
        <v>442</v>
      </c>
      <c r="V24" s="128">
        <f t="shared" si="4"/>
        <v>445</v>
      </c>
      <c r="W24" s="128">
        <f t="shared" si="4"/>
        <v>448</v>
      </c>
      <c r="X24" s="128">
        <f t="shared" si="5"/>
        <v>451</v>
      </c>
      <c r="Y24" s="128">
        <f t="shared" si="5"/>
        <v>454</v>
      </c>
      <c r="Z24" s="128">
        <f t="shared" ref="Z24:AE24" si="18">Y24+3</f>
        <v>457</v>
      </c>
      <c r="AA24" s="128">
        <f t="shared" si="18"/>
        <v>460</v>
      </c>
      <c r="AB24" s="128">
        <f t="shared" si="18"/>
        <v>463</v>
      </c>
      <c r="AC24" s="128">
        <f t="shared" si="18"/>
        <v>466</v>
      </c>
      <c r="AD24" s="128">
        <f t="shared" si="18"/>
        <v>469</v>
      </c>
      <c r="AE24" s="128">
        <f t="shared" si="18"/>
        <v>472</v>
      </c>
      <c r="AF24" s="31"/>
      <c r="AG24" s="31"/>
      <c r="AH24" s="31"/>
      <c r="AI24" s="31"/>
      <c r="AJ24" s="31"/>
      <c r="AK24" s="31"/>
      <c r="AL24" s="31"/>
      <c r="AM24" s="31"/>
      <c r="AN24" s="31"/>
      <c r="AO24" s="31"/>
    </row>
    <row r="25" spans="1:41" ht="15.75" customHeight="1">
      <c r="A25" s="24" t="s">
        <v>213</v>
      </c>
      <c r="B25" s="89">
        <f>(' Pivot Table for Data Exchange'!$J$475)*100</f>
        <v>92.467408431836475</v>
      </c>
      <c r="C25" s="89">
        <f>(' Pivot Table for Data Exchange'!$J$478)*100</f>
        <v>2.1585270066450466</v>
      </c>
      <c r="D25" s="83">
        <f>SUM(E25:G25)</f>
        <v>5.3740645615184821</v>
      </c>
      <c r="E25" s="89">
        <f>(' Pivot Table for Data Exchange'!$J$481)*100</f>
        <v>4.3532042231463501</v>
      </c>
      <c r="F25" s="89">
        <f>(' Pivot Table for Data Exchange'!$J$484)*100</f>
        <v>0.26230345552059292</v>
      </c>
      <c r="G25" s="91">
        <f>(' Pivot Table for Data Exchange'!$J$487)*100</f>
        <v>0.75855688285153933</v>
      </c>
      <c r="H25" s="89">
        <f>(' Pivot Table for Data Exchange'!$J$490)*100</f>
        <v>0</v>
      </c>
      <c r="I25" s="24" t="s">
        <v>213</v>
      </c>
      <c r="J25" s="89">
        <f>(' Pivot Table for Data Exchange'!$J$493)*100</f>
        <v>77.226225733666155</v>
      </c>
      <c r="K25" s="89">
        <f>(' Pivot Table for Data Exchange'!$J$496)*100</f>
        <v>5.9111034193538234</v>
      </c>
      <c r="L25" s="83">
        <f>SUM(M25:O25)</f>
        <v>16.862670846980023</v>
      </c>
      <c r="M25" s="89">
        <f>(' Pivot Table for Data Exchange'!$J$499)*100</f>
        <v>13.198476815048259</v>
      </c>
      <c r="N25" s="89">
        <f>(' Pivot Table for Data Exchange'!$J$502)*100</f>
        <v>0.49125373051735449</v>
      </c>
      <c r="O25" s="91">
        <f>(' Pivot Table for Data Exchange'!$J$505)*100</f>
        <v>3.1729403014144091</v>
      </c>
      <c r="P25" s="89">
        <f>(' Pivot Table for Data Exchange'!$J$508)*100</f>
        <v>0</v>
      </c>
      <c r="Q25" s="23">
        <f t="shared" si="7"/>
        <v>100</v>
      </c>
      <c r="R25" s="23">
        <f t="shared" si="3"/>
        <v>100</v>
      </c>
      <c r="S25" s="31"/>
      <c r="T25" s="128">
        <f>T24+36</f>
        <v>475</v>
      </c>
      <c r="U25" s="128">
        <f t="shared" si="4"/>
        <v>478</v>
      </c>
      <c r="V25" s="128">
        <f t="shared" si="4"/>
        <v>481</v>
      </c>
      <c r="W25" s="128">
        <f t="shared" si="4"/>
        <v>484</v>
      </c>
      <c r="X25" s="128">
        <f t="shared" si="5"/>
        <v>487</v>
      </c>
      <c r="Y25" s="128">
        <f t="shared" si="5"/>
        <v>490</v>
      </c>
      <c r="Z25" s="128">
        <f t="shared" ref="Z25:AE25" si="19">Y25+3</f>
        <v>493</v>
      </c>
      <c r="AA25" s="128">
        <f t="shared" si="19"/>
        <v>496</v>
      </c>
      <c r="AB25" s="128">
        <f t="shared" si="19"/>
        <v>499</v>
      </c>
      <c r="AC25" s="128">
        <f t="shared" si="19"/>
        <v>502</v>
      </c>
      <c r="AD25" s="128">
        <f t="shared" si="19"/>
        <v>505</v>
      </c>
      <c r="AE25" s="128">
        <f t="shared" si="19"/>
        <v>508</v>
      </c>
      <c r="AF25" s="31"/>
      <c r="AG25" s="31"/>
      <c r="AH25" s="31"/>
      <c r="AI25" s="31"/>
      <c r="AJ25" s="31"/>
      <c r="AK25" s="31"/>
      <c r="AL25" s="31"/>
      <c r="AM25" s="31"/>
      <c r="AN25" s="31"/>
      <c r="AO25" s="31"/>
    </row>
    <row r="26" spans="1:41" ht="15.75" customHeight="1">
      <c r="A26" s="24" t="s">
        <v>230</v>
      </c>
      <c r="B26" s="89">
        <f>(' Pivot Table for Data Exchange'!$J$511)*100</f>
        <v>0</v>
      </c>
      <c r="C26" s="89">
        <f>(' Pivot Table for Data Exchange'!$J$514)*100</f>
        <v>0</v>
      </c>
      <c r="D26" s="83">
        <f t="shared" si="1"/>
        <v>0</v>
      </c>
      <c r="E26" s="89">
        <f>(' Pivot Table for Data Exchange'!$J$517)*100</f>
        <v>0</v>
      </c>
      <c r="F26" s="89">
        <f>(' Pivot Table for Data Exchange'!$J$520)*100</f>
        <v>0</v>
      </c>
      <c r="G26" s="91">
        <f>(' Pivot Table for Data Exchange'!$J$523)*100</f>
        <v>0</v>
      </c>
      <c r="H26" s="89">
        <f>(' Pivot Table for Data Exchange'!$J$526)*100</f>
        <v>0</v>
      </c>
      <c r="I26" s="24" t="s">
        <v>230</v>
      </c>
      <c r="J26" s="89">
        <f>(' Pivot Table for Data Exchange'!$J$529)*100</f>
        <v>0</v>
      </c>
      <c r="K26" s="89">
        <f>(' Pivot Table for Data Exchange'!$J$532)*100</f>
        <v>0</v>
      </c>
      <c r="L26" s="83">
        <f t="shared" si="2"/>
        <v>0</v>
      </c>
      <c r="M26" s="89">
        <f>(' Pivot Table for Data Exchange'!$J$535)*100</f>
        <v>0</v>
      </c>
      <c r="N26" s="89">
        <f>(' Pivot Table for Data Exchange'!$J$538)*100</f>
        <v>0</v>
      </c>
      <c r="O26" s="91">
        <f>(' Pivot Table for Data Exchange'!$J$541)*100</f>
        <v>0</v>
      </c>
      <c r="P26" s="89">
        <f>(' Pivot Table for Data Exchange'!$J$544)*100</f>
        <v>0</v>
      </c>
      <c r="Q26" s="23">
        <f t="shared" si="7"/>
        <v>0</v>
      </c>
      <c r="R26" s="23">
        <f t="shared" si="3"/>
        <v>0</v>
      </c>
      <c r="S26" s="31"/>
      <c r="T26" s="128">
        <f>T25+36</f>
        <v>511</v>
      </c>
      <c r="U26" s="128">
        <f t="shared" si="4"/>
        <v>514</v>
      </c>
      <c r="V26" s="128">
        <f t="shared" si="4"/>
        <v>517</v>
      </c>
      <c r="W26" s="128">
        <f t="shared" si="4"/>
        <v>520</v>
      </c>
      <c r="X26" s="128">
        <f t="shared" si="5"/>
        <v>523</v>
      </c>
      <c r="Y26" s="128">
        <f t="shared" si="5"/>
        <v>526</v>
      </c>
      <c r="Z26" s="128">
        <f t="shared" ref="Z26:AE26" si="20">Y26+3</f>
        <v>529</v>
      </c>
      <c r="AA26" s="128">
        <f t="shared" si="20"/>
        <v>532</v>
      </c>
      <c r="AB26" s="128">
        <f t="shared" si="20"/>
        <v>535</v>
      </c>
      <c r="AC26" s="128">
        <f t="shared" si="20"/>
        <v>538</v>
      </c>
      <c r="AD26" s="128">
        <f t="shared" si="20"/>
        <v>541</v>
      </c>
      <c r="AE26" s="128">
        <f t="shared" si="20"/>
        <v>544</v>
      </c>
      <c r="AF26" s="31"/>
      <c r="AG26" s="31"/>
      <c r="AH26" s="31"/>
      <c r="AI26" s="31"/>
      <c r="AJ26" s="31"/>
      <c r="AK26" s="31"/>
      <c r="AL26" s="31"/>
      <c r="AM26" s="31"/>
      <c r="AN26" s="31"/>
      <c r="AO26" s="31"/>
    </row>
    <row r="27" spans="1:41" ht="15.75" customHeight="1">
      <c r="A27" s="18" t="s">
        <v>206</v>
      </c>
      <c r="B27" s="92">
        <f>(' Pivot Table for Data Exchange'!$J$547)*100</f>
        <v>89.923231262799106</v>
      </c>
      <c r="C27" s="92">
        <f>(' Pivot Table for Data Exchange'!$J$550)*100</f>
        <v>3.4256192781735741</v>
      </c>
      <c r="D27" s="84">
        <f>SUM(E27:G27)</f>
        <v>6.6505278498192162</v>
      </c>
      <c r="E27" s="92">
        <f>(' Pivot Table for Data Exchange'!$J$553)*100</f>
        <v>6.2890966291514001</v>
      </c>
      <c r="F27" s="92">
        <f>(' Pivot Table for Data Exchange'!$J$556)*100</f>
        <v>0.17073532915934261</v>
      </c>
      <c r="G27" s="93">
        <f>(' Pivot Table for Data Exchange'!$J$559)*100</f>
        <v>0.19069589150847288</v>
      </c>
      <c r="H27" s="581">
        <f>(' Pivot Table for Data Exchange'!$J$562)*100</f>
        <v>6.2160920810440271E-4</v>
      </c>
      <c r="I27" s="18" t="s">
        <v>206</v>
      </c>
      <c r="J27" s="92">
        <f>(' Pivot Table for Data Exchange'!$J$565)*100</f>
        <v>55.340728116006822</v>
      </c>
      <c r="K27" s="92">
        <f>(' Pivot Table for Data Exchange'!$J$568)*100</f>
        <v>20.87619792685312</v>
      </c>
      <c r="L27" s="84">
        <f>SUM(M27:O27)</f>
        <v>23.783073957140065</v>
      </c>
      <c r="M27" s="92">
        <f>(' Pivot Table for Data Exchange'!$J$571)*100</f>
        <v>21.469643206392668</v>
      </c>
      <c r="N27" s="92">
        <f>(' Pivot Table for Data Exchange'!$J$574)*100</f>
        <v>1.9854153278757229</v>
      </c>
      <c r="O27" s="93">
        <f>(' Pivot Table for Data Exchange'!$J$577)*100</f>
        <v>0.32801542287167168</v>
      </c>
      <c r="P27" s="92">
        <f>(' Pivot Table for Data Exchange'!$J$580)*100</f>
        <v>0</v>
      </c>
      <c r="Q27" s="23">
        <f t="shared" si="7"/>
        <v>100</v>
      </c>
      <c r="R27" s="23">
        <f t="shared" si="3"/>
        <v>100</v>
      </c>
      <c r="S27" s="31"/>
      <c r="T27" s="128">
        <f>T26+36</f>
        <v>547</v>
      </c>
      <c r="U27" s="128">
        <f t="shared" si="4"/>
        <v>550</v>
      </c>
      <c r="V27" s="128">
        <f t="shared" si="4"/>
        <v>553</v>
      </c>
      <c r="W27" s="128">
        <f t="shared" si="4"/>
        <v>556</v>
      </c>
      <c r="X27" s="128">
        <f t="shared" si="5"/>
        <v>559</v>
      </c>
      <c r="Y27" s="128">
        <f t="shared" si="5"/>
        <v>562</v>
      </c>
      <c r="Z27" s="128">
        <f t="shared" ref="Z27:AE27" si="21">Y27+3</f>
        <v>565</v>
      </c>
      <c r="AA27" s="128">
        <f t="shared" si="21"/>
        <v>568</v>
      </c>
      <c r="AB27" s="128">
        <f t="shared" si="21"/>
        <v>571</v>
      </c>
      <c r="AC27" s="128">
        <f t="shared" si="21"/>
        <v>574</v>
      </c>
      <c r="AD27" s="128">
        <f t="shared" si="21"/>
        <v>577</v>
      </c>
      <c r="AE27" s="128">
        <f t="shared" si="21"/>
        <v>580</v>
      </c>
      <c r="AF27" s="31"/>
      <c r="AG27" s="31"/>
      <c r="AH27" s="31"/>
      <c r="AI27" s="31"/>
      <c r="AJ27" s="31"/>
      <c r="AK27" s="31"/>
      <c r="AL27" s="31"/>
      <c r="AM27" s="31"/>
      <c r="AN27" s="31"/>
      <c r="AO27" s="31"/>
    </row>
    <row r="28" spans="1:41" s="45" customFormat="1" ht="18" customHeight="1">
      <c r="A28" s="85" t="s">
        <v>35</v>
      </c>
      <c r="B28" s="49"/>
      <c r="C28" s="49"/>
      <c r="D28" s="50"/>
      <c r="E28" s="49"/>
      <c r="F28" s="50"/>
      <c r="G28" s="50"/>
      <c r="H28" s="49"/>
      <c r="I28" s="85" t="s">
        <v>35</v>
      </c>
      <c r="J28" s="49"/>
      <c r="K28" s="49"/>
      <c r="L28" s="50"/>
      <c r="M28" s="49"/>
      <c r="N28" s="50"/>
      <c r="O28" s="50"/>
      <c r="P28" s="49"/>
      <c r="Q28" s="23">
        <f t="shared" si="7"/>
        <v>0</v>
      </c>
      <c r="R28" s="23">
        <f t="shared" si="3"/>
        <v>0</v>
      </c>
      <c r="S28" s="51"/>
      <c r="T28" s="31"/>
      <c r="U28" s="51"/>
      <c r="V28" s="51"/>
      <c r="W28" s="51"/>
      <c r="X28" s="51"/>
      <c r="Y28" s="51"/>
      <c r="Z28" s="51"/>
      <c r="AA28" s="51"/>
      <c r="AB28" s="51"/>
      <c r="AC28" s="51"/>
      <c r="AD28" s="51"/>
      <c r="AE28" s="51"/>
      <c r="AF28" s="51"/>
      <c r="AG28" s="51"/>
      <c r="AH28" s="51"/>
      <c r="AI28" s="51"/>
      <c r="AJ28" s="51"/>
      <c r="AK28" s="51"/>
      <c r="AL28" s="51"/>
      <c r="AM28" s="51"/>
      <c r="AN28" s="51"/>
      <c r="AO28" s="51"/>
    </row>
    <row r="29" spans="1:41" s="45" customFormat="1" ht="24.75" customHeight="1">
      <c r="A29" s="601" t="s">
        <v>897</v>
      </c>
      <c r="B29" s="602"/>
      <c r="C29" s="602"/>
      <c r="D29" s="602"/>
      <c r="E29" s="602"/>
      <c r="F29" s="602"/>
      <c r="G29" s="602"/>
      <c r="H29" s="602"/>
      <c r="I29" s="601" t="s">
        <v>897</v>
      </c>
      <c r="J29" s="602"/>
      <c r="K29" s="602"/>
      <c r="L29" s="602"/>
      <c r="M29" s="602"/>
      <c r="N29" s="602"/>
      <c r="O29" s="602"/>
      <c r="P29" s="602"/>
      <c r="Q29" s="23">
        <f t="shared" si="7"/>
        <v>0</v>
      </c>
      <c r="R29" s="23">
        <f t="shared" si="3"/>
        <v>0</v>
      </c>
      <c r="S29" s="51"/>
      <c r="T29" s="51"/>
      <c r="U29" s="51"/>
      <c r="V29" s="51"/>
      <c r="W29" s="51"/>
      <c r="X29" s="51"/>
      <c r="Y29" s="51"/>
      <c r="Z29" s="51"/>
      <c r="AA29" s="51"/>
      <c r="AB29" s="51"/>
      <c r="AC29" s="51"/>
      <c r="AD29" s="51"/>
      <c r="AE29" s="51"/>
      <c r="AF29" s="51"/>
      <c r="AG29" s="51"/>
      <c r="AH29" s="51"/>
      <c r="AI29" s="51"/>
      <c r="AJ29" s="51"/>
      <c r="AK29" s="51"/>
      <c r="AL29" s="51"/>
      <c r="AM29" s="51"/>
      <c r="AN29" s="51"/>
      <c r="AO29" s="51"/>
    </row>
    <row r="30" spans="1:41" s="45" customFormat="1" ht="13.5" customHeight="1">
      <c r="A30" s="599" t="s">
        <v>113</v>
      </c>
      <c r="B30" s="604"/>
      <c r="C30" s="604"/>
      <c r="D30" s="604"/>
      <c r="E30" s="604"/>
      <c r="F30" s="604"/>
      <c r="G30" s="604"/>
      <c r="H30" s="604"/>
      <c r="I30" s="599" t="s">
        <v>113</v>
      </c>
      <c r="J30" s="604"/>
      <c r="K30" s="604"/>
      <c r="L30" s="604"/>
      <c r="M30" s="604"/>
      <c r="N30" s="604"/>
      <c r="O30" s="604"/>
      <c r="P30" s="604"/>
      <c r="Q30" s="23">
        <f t="shared" si="7"/>
        <v>0</v>
      </c>
      <c r="R30" s="23">
        <f t="shared" si="3"/>
        <v>0</v>
      </c>
    </row>
    <row r="31" spans="1:41" s="45" customFormat="1" ht="13.5" customHeight="1">
      <c r="A31" s="101"/>
      <c r="B31" s="127"/>
      <c r="C31" s="127"/>
      <c r="D31" s="127"/>
      <c r="E31" s="127"/>
      <c r="F31" s="127"/>
      <c r="G31" s="127"/>
      <c r="H31" s="127"/>
      <c r="I31" s="101"/>
      <c r="J31" s="127"/>
      <c r="K31" s="127"/>
      <c r="L31" s="127"/>
      <c r="M31" s="127"/>
      <c r="N31" s="127"/>
      <c r="O31" s="127"/>
      <c r="P31" s="127"/>
      <c r="Q31" s="23"/>
      <c r="R31" s="23"/>
    </row>
    <row r="32" spans="1:41">
      <c r="H32" s="572" t="s">
        <v>889</v>
      </c>
      <c r="I32" s="22"/>
      <c r="P32" s="572" t="s">
        <v>889</v>
      </c>
      <c r="Q32" s="23">
        <f t="shared" si="7"/>
        <v>0</v>
      </c>
      <c r="R32" s="23">
        <f t="shared" si="3"/>
        <v>0</v>
      </c>
    </row>
    <row r="33" spans="1:41" ht="18">
      <c r="A33" s="15" t="s">
        <v>0</v>
      </c>
      <c r="B33" s="16"/>
      <c r="C33" s="16"/>
      <c r="D33" s="16"/>
      <c r="E33" s="16"/>
      <c r="F33" s="16"/>
      <c r="G33" s="16"/>
      <c r="H33" s="30"/>
      <c r="I33" s="15" t="s">
        <v>15</v>
      </c>
      <c r="J33" s="17"/>
      <c r="K33" s="17"/>
      <c r="L33" s="16"/>
      <c r="M33" s="17"/>
      <c r="N33" s="17"/>
      <c r="O33" s="17"/>
      <c r="P33" s="17"/>
      <c r="Q33" s="23">
        <f t="shared" si="7"/>
        <v>0</v>
      </c>
      <c r="R33" s="23">
        <f t="shared" si="3"/>
        <v>0</v>
      </c>
    </row>
    <row r="34" spans="1:41">
      <c r="A34" s="58"/>
      <c r="B34" s="17"/>
      <c r="C34" s="17"/>
      <c r="D34" s="17"/>
      <c r="E34" s="17"/>
      <c r="F34" s="17"/>
      <c r="G34" s="17"/>
      <c r="H34" s="27"/>
      <c r="I34" s="58"/>
      <c r="J34" s="17"/>
      <c r="K34" s="17"/>
      <c r="L34" s="17"/>
      <c r="M34" s="17"/>
      <c r="N34" s="17"/>
      <c r="O34" s="17"/>
      <c r="P34" s="17"/>
      <c r="Q34" s="23">
        <f t="shared" si="7"/>
        <v>0</v>
      </c>
      <c r="R34" s="23">
        <f t="shared" si="3"/>
        <v>0</v>
      </c>
    </row>
    <row r="35" spans="1:41" ht="15.75">
      <c r="A35" s="26" t="s">
        <v>23</v>
      </c>
      <c r="B35" s="17"/>
      <c r="C35" s="17"/>
      <c r="D35" s="17"/>
      <c r="E35" s="17"/>
      <c r="F35" s="17"/>
      <c r="G35" s="17"/>
      <c r="H35" s="27"/>
      <c r="I35" s="26" t="s">
        <v>24</v>
      </c>
      <c r="J35" s="17"/>
      <c r="K35" s="17"/>
      <c r="L35" s="17"/>
      <c r="M35" s="17"/>
      <c r="N35" s="17"/>
      <c r="O35" s="17"/>
      <c r="P35" s="17"/>
      <c r="Q35" s="23">
        <f t="shared" si="7"/>
        <v>0</v>
      </c>
      <c r="R35" s="23">
        <f t="shared" si="3"/>
        <v>0</v>
      </c>
    </row>
    <row r="36" spans="1:41" ht="15.75">
      <c r="A36" s="26" t="s">
        <v>753</v>
      </c>
      <c r="B36" s="17"/>
      <c r="C36" s="17"/>
      <c r="D36" s="17"/>
      <c r="E36" s="17"/>
      <c r="F36" s="17"/>
      <c r="G36" s="17"/>
      <c r="H36" s="27"/>
      <c r="I36" s="26" t="s">
        <v>753</v>
      </c>
      <c r="J36" s="17"/>
      <c r="K36" s="17"/>
      <c r="L36" s="17"/>
      <c r="M36" s="17"/>
      <c r="N36" s="17"/>
      <c r="O36" s="17"/>
      <c r="P36" s="17"/>
      <c r="Q36" s="23">
        <f t="shared" si="7"/>
        <v>0</v>
      </c>
      <c r="R36" s="23">
        <f t="shared" si="3"/>
        <v>0</v>
      </c>
    </row>
    <row r="37" spans="1:41">
      <c r="A37" s="18"/>
      <c r="B37" s="19"/>
      <c r="C37" s="19"/>
      <c r="D37" s="19"/>
      <c r="E37" s="19"/>
      <c r="F37" s="19"/>
      <c r="G37" s="19"/>
      <c r="H37" s="19"/>
      <c r="I37" s="20"/>
      <c r="L37" s="21"/>
      <c r="P37" s="18"/>
      <c r="Q37" s="23">
        <f t="shared" si="7"/>
        <v>0</v>
      </c>
      <c r="R37" s="23">
        <f t="shared" si="3"/>
        <v>0</v>
      </c>
    </row>
    <row r="38" spans="1:41" s="67" customFormat="1">
      <c r="A38" s="63"/>
      <c r="B38" s="64" t="s">
        <v>215</v>
      </c>
      <c r="C38" s="64"/>
      <c r="D38" s="64"/>
      <c r="E38" s="64"/>
      <c r="F38" s="64"/>
      <c r="G38" s="64"/>
      <c r="H38" s="65"/>
      <c r="I38" s="63"/>
      <c r="J38" s="64" t="s">
        <v>215</v>
      </c>
      <c r="K38" s="64"/>
      <c r="L38" s="64"/>
      <c r="M38" s="64"/>
      <c r="N38" s="64"/>
      <c r="O38" s="64"/>
      <c r="P38" s="65"/>
      <c r="Q38" s="23">
        <f t="shared" si="7"/>
        <v>0</v>
      </c>
      <c r="R38" s="23">
        <f t="shared" si="3"/>
        <v>0</v>
      </c>
    </row>
    <row r="39" spans="1:41" s="67" customFormat="1">
      <c r="A39" s="63"/>
      <c r="B39" s="64" t="s">
        <v>209</v>
      </c>
      <c r="C39" s="64"/>
      <c r="D39" s="597" t="s">
        <v>30</v>
      </c>
      <c r="E39" s="598"/>
      <c r="F39" s="598"/>
      <c r="G39" s="598"/>
      <c r="H39" s="68" t="s">
        <v>196</v>
      </c>
      <c r="I39" s="63"/>
      <c r="J39" s="64" t="s">
        <v>209</v>
      </c>
      <c r="K39" s="64"/>
      <c r="L39" s="597" t="s">
        <v>30</v>
      </c>
      <c r="M39" s="598"/>
      <c r="N39" s="598"/>
      <c r="O39" s="598"/>
      <c r="P39" s="68" t="s">
        <v>196</v>
      </c>
      <c r="Q39" s="23">
        <f t="shared" si="7"/>
        <v>0</v>
      </c>
      <c r="R39" s="23">
        <f t="shared" si="3"/>
        <v>0</v>
      </c>
    </row>
    <row r="40" spans="1:41" s="67" customFormat="1" ht="40.5" customHeight="1">
      <c r="A40" s="63"/>
      <c r="B40" s="69" t="s">
        <v>22</v>
      </c>
      <c r="C40" s="70" t="s">
        <v>21</v>
      </c>
      <c r="D40" s="71" t="s">
        <v>28</v>
      </c>
      <c r="E40" s="72" t="s">
        <v>195</v>
      </c>
      <c r="F40" s="69" t="s">
        <v>210</v>
      </c>
      <c r="G40" s="73" t="s">
        <v>32</v>
      </c>
      <c r="H40" s="74" t="s">
        <v>31</v>
      </c>
      <c r="I40" s="63"/>
      <c r="J40" s="69" t="s">
        <v>22</v>
      </c>
      <c r="K40" s="70" t="s">
        <v>21</v>
      </c>
      <c r="L40" s="71" t="s">
        <v>28</v>
      </c>
      <c r="M40" s="72" t="s">
        <v>195</v>
      </c>
      <c r="N40" s="69" t="s">
        <v>210</v>
      </c>
      <c r="O40" s="73" t="s">
        <v>32</v>
      </c>
      <c r="P40" s="74" t="s">
        <v>31</v>
      </c>
      <c r="Q40" s="23">
        <f t="shared" si="7"/>
        <v>0</v>
      </c>
      <c r="R40" s="23">
        <f t="shared" si="3"/>
        <v>0</v>
      </c>
      <c r="T40" s="75"/>
    </row>
    <row r="41" spans="1:41" ht="15.75" customHeight="1">
      <c r="A41" s="25" t="s">
        <v>220</v>
      </c>
      <c r="B41" s="89">
        <f>(' Pivot Table for Data Exchange'!$C$7)*100</f>
        <v>96.624029364931488</v>
      </c>
      <c r="C41" s="156">
        <f>(' Pivot Table for Data Exchange'!$C$10)*100</f>
        <v>3.6173795293174965E-2</v>
      </c>
      <c r="D41" s="83">
        <f>SUM(E41:G41)</f>
        <v>3.3238940203351333</v>
      </c>
      <c r="E41" s="89">
        <f>(' Pivot Table for Data Exchange'!$C$13)*100</f>
        <v>3.1571532997667817</v>
      </c>
      <c r="F41" s="156">
        <f>(' Pivot Table for Data Exchange'!$C$16)*100</f>
        <v>4.1224476145429574E-2</v>
      </c>
      <c r="G41" s="90">
        <f>(' Pivot Table for Data Exchange'!$C$19)*100</f>
        <v>0.12551624442292217</v>
      </c>
      <c r="H41" s="156">
        <f>(' Pivot Table for Data Exchange'!$C$22)*100</f>
        <v>1.5902819440207105E-2</v>
      </c>
      <c r="I41" s="25" t="s">
        <v>220</v>
      </c>
      <c r="J41" s="89">
        <f>(' Pivot Table for Data Exchange'!$C$25)*100</f>
        <v>87.26504761639822</v>
      </c>
      <c r="K41" s="89">
        <f>(' Pivot Table for Data Exchange'!$C$28)*100</f>
        <v>3.2557190678869814</v>
      </c>
      <c r="L41" s="83">
        <f>SUM(M41:O41)</f>
        <v>9.4792333157148025</v>
      </c>
      <c r="M41" s="89">
        <f>(' Pivot Table for Data Exchange'!$C$31)*100</f>
        <v>5.8331246928348213</v>
      </c>
      <c r="N41" s="89">
        <f>(' Pivot Table for Data Exchange'!$C$34)*100</f>
        <v>0.6296306599530791</v>
      </c>
      <c r="O41" s="90">
        <f>(' Pivot Table for Data Exchange'!$C$37)*100</f>
        <v>3.0164779629269018</v>
      </c>
      <c r="P41" s="89">
        <f>(' Pivot Table for Data Exchange'!$C$40)*100</f>
        <v>0</v>
      </c>
      <c r="Q41" s="23">
        <f t="shared" si="7"/>
        <v>100.00000000000001</v>
      </c>
      <c r="R41" s="23">
        <f t="shared" si="3"/>
        <v>100.00000000000001</v>
      </c>
      <c r="S41" s="31"/>
      <c r="T41" s="31"/>
      <c r="U41" s="31"/>
      <c r="V41" s="31"/>
      <c r="W41" s="31"/>
      <c r="X41" s="31"/>
      <c r="Y41" s="31"/>
      <c r="Z41" s="31"/>
      <c r="AA41" s="31"/>
      <c r="AB41" s="31"/>
      <c r="AC41" s="31"/>
      <c r="AD41" s="31"/>
      <c r="AE41" s="31"/>
      <c r="AF41" s="31"/>
      <c r="AG41" s="31"/>
      <c r="AH41" s="31"/>
      <c r="AI41" s="31"/>
      <c r="AJ41" s="31"/>
      <c r="AK41" s="31"/>
      <c r="AL41" s="31"/>
      <c r="AM41" s="31"/>
      <c r="AN41" s="31"/>
      <c r="AO41" s="31"/>
    </row>
    <row r="42" spans="1:41" ht="15.75" customHeight="1">
      <c r="A42" s="24" t="s">
        <v>221</v>
      </c>
      <c r="B42" s="89">
        <f>(' Pivot Table for Data Exchange'!$C$43)*100</f>
        <v>95.641498424553632</v>
      </c>
      <c r="C42" s="89">
        <f>(' Pivot Table for Data Exchange'!$C$46)*100</f>
        <v>2.5062434356400978</v>
      </c>
      <c r="D42" s="83">
        <f>SUM(E42:G42)</f>
        <v>1.8522581398062785</v>
      </c>
      <c r="E42" s="89">
        <f>(' Pivot Table for Data Exchange'!$C$49)*100</f>
        <v>1.6471000116699732</v>
      </c>
      <c r="F42" s="89">
        <f>(' Pivot Table for Data Exchange'!$C$52)*100</f>
        <v>0.17364920060683861</v>
      </c>
      <c r="G42" s="159">
        <f>(' Pivot Table for Data Exchange'!$C$55)*100</f>
        <v>3.1508927529466685E-2</v>
      </c>
      <c r="H42" s="89">
        <f>(' Pivot Table for Data Exchange'!$C$58)*100</f>
        <v>0</v>
      </c>
      <c r="I42" s="24" t="s">
        <v>221</v>
      </c>
      <c r="J42" s="89">
        <f>(' Pivot Table for Data Exchange'!$C$61)*100</f>
        <v>77.075778640943682</v>
      </c>
      <c r="K42" s="89">
        <f>(' Pivot Table for Data Exchange'!$C$64)*100</f>
        <v>5.2917484842838505</v>
      </c>
      <c r="L42" s="83">
        <f>SUM(M42:O42)</f>
        <v>17.632472874772464</v>
      </c>
      <c r="M42" s="89">
        <f>(' Pivot Table for Data Exchange'!$C$67)*100</f>
        <v>14.429044418007997</v>
      </c>
      <c r="N42" s="89">
        <f>(' Pivot Table for Data Exchange'!$C$70)*100</f>
        <v>0.27519385400392726</v>
      </c>
      <c r="O42" s="91">
        <f>(' Pivot Table for Data Exchange'!$C$73)*100</f>
        <v>2.9282346027605386</v>
      </c>
      <c r="P42" s="89">
        <f>(' Pivot Table for Data Exchange'!$C$76)*100</f>
        <v>0</v>
      </c>
      <c r="Q42" s="23">
        <f t="shared" si="7"/>
        <v>100.00000000000001</v>
      </c>
      <c r="R42" s="23">
        <f t="shared" si="3"/>
        <v>99.999999999999986</v>
      </c>
      <c r="S42" s="31"/>
      <c r="T42" s="31"/>
      <c r="U42" s="31"/>
      <c r="V42" s="31"/>
      <c r="W42" s="31"/>
      <c r="X42" s="31"/>
      <c r="Y42" s="31"/>
      <c r="Z42" s="31"/>
      <c r="AA42" s="31"/>
      <c r="AB42" s="31"/>
      <c r="AC42" s="31"/>
      <c r="AD42" s="31"/>
      <c r="AE42" s="31"/>
      <c r="AF42" s="31"/>
      <c r="AG42" s="31"/>
      <c r="AH42" s="31"/>
      <c r="AI42" s="31"/>
      <c r="AJ42" s="31"/>
      <c r="AK42" s="31"/>
      <c r="AL42" s="31"/>
      <c r="AM42" s="31"/>
      <c r="AN42" s="31"/>
      <c r="AO42" s="31"/>
    </row>
    <row r="43" spans="1:41" ht="15.75" customHeight="1">
      <c r="A43" s="24" t="s">
        <v>222</v>
      </c>
      <c r="B43" s="89">
        <f>(' Pivot Table for Data Exchange'!$C$79)*100</f>
        <v>95.238444055528717</v>
      </c>
      <c r="C43" s="89">
        <f>(' Pivot Table for Data Exchange'!$C$82)*100</f>
        <v>0</v>
      </c>
      <c r="D43" s="83">
        <f>SUM(E43:G43)</f>
        <v>4.7615559444712821</v>
      </c>
      <c r="E43" s="89">
        <f>(' Pivot Table for Data Exchange'!$C$85)*100</f>
        <v>4.7615559444712821</v>
      </c>
      <c r="F43" s="89">
        <f>(' Pivot Table for Data Exchange'!$C$88)*100</f>
        <v>0</v>
      </c>
      <c r="G43" s="91">
        <f>(' Pivot Table for Data Exchange'!$C$91)*100</f>
        <v>0</v>
      </c>
      <c r="H43" s="89">
        <f>(' Pivot Table for Data Exchange'!$C$94)*100</f>
        <v>0</v>
      </c>
      <c r="I43" s="24" t="s">
        <v>222</v>
      </c>
      <c r="J43" s="89">
        <f>(' Pivot Table for Data Exchange'!$C$97)*100</f>
        <v>93.180215573687917</v>
      </c>
      <c r="K43" s="89">
        <f>(' Pivot Table for Data Exchange'!$C$100)*100</f>
        <v>0</v>
      </c>
      <c r="L43" s="83">
        <f>SUM(M43:O43)</f>
        <v>6.8197844263120793</v>
      </c>
      <c r="M43" s="89">
        <f>(' Pivot Table for Data Exchange'!$C$103)*100</f>
        <v>6.3483429031933118</v>
      </c>
      <c r="N43" s="89">
        <f>(' Pivot Table for Data Exchange'!$C$106)*100</f>
        <v>0.47144152311876703</v>
      </c>
      <c r="O43" s="91">
        <f>(' Pivot Table for Data Exchange'!$C$109)*100</f>
        <v>0</v>
      </c>
      <c r="P43" s="89">
        <f>(' Pivot Table for Data Exchange'!$C$112)*100</f>
        <v>0</v>
      </c>
      <c r="Q43" s="23">
        <f t="shared" si="7"/>
        <v>100</v>
      </c>
      <c r="R43" s="23">
        <f t="shared" si="3"/>
        <v>100</v>
      </c>
      <c r="S43" s="31"/>
      <c r="T43" s="40"/>
      <c r="U43" s="31"/>
      <c r="V43" s="31"/>
      <c r="W43" s="31"/>
      <c r="X43" s="31"/>
      <c r="Y43" s="31"/>
      <c r="Z43" s="31"/>
      <c r="AA43" s="31"/>
      <c r="AB43" s="31"/>
      <c r="AC43" s="31"/>
      <c r="AD43" s="31"/>
      <c r="AE43" s="31"/>
      <c r="AF43" s="31"/>
      <c r="AG43" s="31"/>
      <c r="AH43" s="31"/>
      <c r="AI43" s="31"/>
      <c r="AJ43" s="31"/>
      <c r="AK43" s="31"/>
      <c r="AL43" s="31"/>
      <c r="AM43" s="31"/>
      <c r="AN43" s="31"/>
      <c r="AO43" s="31"/>
    </row>
    <row r="44" spans="1:41" ht="15.75" customHeight="1">
      <c r="A44" s="24" t="s">
        <v>111</v>
      </c>
      <c r="B44" s="89">
        <f>(' Pivot Table for Data Exchange'!$C$115)*100</f>
        <v>76.646051286627298</v>
      </c>
      <c r="C44" s="89">
        <f>(' Pivot Table for Data Exchange'!$C$118)*100</f>
        <v>6.9543946753265642</v>
      </c>
      <c r="D44" s="83">
        <f>SUM(E44:G44)</f>
        <v>16.22184100674307</v>
      </c>
      <c r="E44" s="89">
        <f>(' Pivot Table for Data Exchange'!$C$121)*100</f>
        <v>9.6936066922366226</v>
      </c>
      <c r="F44" s="89">
        <f>(' Pivot Table for Data Exchange'!$C$124)*100</f>
        <v>0.87234790245985916</v>
      </c>
      <c r="G44" s="91">
        <f>(' Pivot Table for Data Exchange'!$C$127)*100</f>
        <v>5.6558864120465877</v>
      </c>
      <c r="H44" s="89">
        <f>(' Pivot Table for Data Exchange'!$C$130)*100</f>
        <v>0.17771303130306013</v>
      </c>
      <c r="I44" s="24" t="s">
        <v>111</v>
      </c>
      <c r="J44" s="89">
        <f>(' Pivot Table for Data Exchange'!$C$133)*100</f>
        <v>73.255599150760773</v>
      </c>
      <c r="K44" s="89">
        <f>(' Pivot Table for Data Exchange'!$C$136)*100</f>
        <v>9.0093770164227891</v>
      </c>
      <c r="L44" s="83">
        <f>SUM(M44:O44)</f>
        <v>17.735023832816434</v>
      </c>
      <c r="M44" s="89">
        <f>(' Pivot Table for Data Exchange'!$C$139)*100</f>
        <v>13.353662344150033</v>
      </c>
      <c r="N44" s="89">
        <f>(' Pivot Table for Data Exchange'!$C$142)*100</f>
        <v>0.39079574547800933</v>
      </c>
      <c r="O44" s="91">
        <f>(' Pivot Table for Data Exchange'!$C$145)*100</f>
        <v>3.9905657431883936</v>
      </c>
      <c r="P44" s="89">
        <f>(' Pivot Table for Data Exchange'!$C$148)*100</f>
        <v>0</v>
      </c>
      <c r="Q44" s="23">
        <f t="shared" si="7"/>
        <v>100</v>
      </c>
      <c r="R44" s="23">
        <f t="shared" si="3"/>
        <v>100</v>
      </c>
      <c r="S44" s="31"/>
      <c r="U44" s="31"/>
      <c r="V44" s="31"/>
      <c r="W44" s="31"/>
      <c r="X44" s="31"/>
      <c r="Y44" s="31"/>
      <c r="Z44" s="31"/>
      <c r="AA44" s="31"/>
      <c r="AB44" s="31"/>
      <c r="AC44" s="31"/>
      <c r="AD44" s="31"/>
      <c r="AE44" s="31"/>
      <c r="AF44" s="31"/>
      <c r="AG44" s="31"/>
      <c r="AH44" s="31"/>
      <c r="AI44" s="31"/>
      <c r="AJ44" s="31"/>
      <c r="AK44" s="31"/>
      <c r="AL44" s="31"/>
      <c r="AM44" s="31"/>
      <c r="AN44" s="31"/>
      <c r="AO44" s="31"/>
    </row>
    <row r="45" spans="1:41" ht="10.5" customHeight="1">
      <c r="A45" s="24"/>
      <c r="B45" s="89"/>
      <c r="C45" s="89"/>
      <c r="D45" s="83"/>
      <c r="E45" s="89"/>
      <c r="F45" s="89"/>
      <c r="G45" s="91"/>
      <c r="H45" s="89"/>
      <c r="I45" s="24"/>
      <c r="J45" s="89"/>
      <c r="K45" s="89"/>
      <c r="L45" s="83"/>
      <c r="M45" s="89"/>
      <c r="N45" s="89"/>
      <c r="O45" s="91"/>
      <c r="P45" s="89"/>
      <c r="Q45" s="23">
        <f t="shared" si="7"/>
        <v>0</v>
      </c>
      <c r="R45" s="23">
        <f t="shared" si="3"/>
        <v>0</v>
      </c>
      <c r="S45" s="31"/>
      <c r="U45" s="31"/>
      <c r="V45" s="31"/>
      <c r="W45" s="31"/>
      <c r="X45" s="31"/>
      <c r="Y45" s="31"/>
      <c r="Z45" s="31"/>
      <c r="AA45" s="31"/>
      <c r="AB45" s="31"/>
      <c r="AC45" s="31"/>
      <c r="AD45" s="31"/>
      <c r="AE45" s="31"/>
      <c r="AF45" s="31"/>
      <c r="AG45" s="31"/>
      <c r="AH45" s="31"/>
      <c r="AI45" s="31"/>
      <c r="AJ45" s="31"/>
      <c r="AK45" s="31"/>
      <c r="AL45" s="31"/>
      <c r="AM45" s="31"/>
      <c r="AN45" s="31"/>
      <c r="AO45" s="31"/>
    </row>
    <row r="46" spans="1:41" ht="15.75" customHeight="1">
      <c r="A46" s="24" t="s">
        <v>224</v>
      </c>
      <c r="B46" s="89">
        <f>(' Pivot Table for Data Exchange'!$C$151)*100</f>
        <v>97.822872493065077</v>
      </c>
      <c r="C46" s="89">
        <f>(' Pivot Table for Data Exchange'!$C$154)*100</f>
        <v>1.6436718671437927</v>
      </c>
      <c r="D46" s="83">
        <f>SUM(E46:G46)</f>
        <v>0.50402360449230965</v>
      </c>
      <c r="E46" s="89">
        <f>(' Pivot Table for Data Exchange'!$C$157)*100</f>
        <v>0.38782838180217255</v>
      </c>
      <c r="F46" s="158">
        <f>(' Pivot Table for Data Exchange'!$C$160)*100</f>
        <v>6.8981332731611719E-4</v>
      </c>
      <c r="G46" s="91">
        <f>(' Pivot Table for Data Exchange'!$C$163)*100</f>
        <v>0.11550540936282096</v>
      </c>
      <c r="H46" s="156">
        <f>(' Pivot Table for Data Exchange'!$C$166)*100</f>
        <v>2.9432035298820998E-2</v>
      </c>
      <c r="I46" s="24" t="s">
        <v>224</v>
      </c>
      <c r="J46" s="89">
        <f>(' Pivot Table for Data Exchange'!$C$169)*100</f>
        <v>91.771244901897603</v>
      </c>
      <c r="K46" s="89">
        <f>(' Pivot Table for Data Exchange'!$C$172)*100</f>
        <v>6.6675838711136919</v>
      </c>
      <c r="L46" s="83">
        <f>SUM(M46:O46)</f>
        <v>1.5611712269887099</v>
      </c>
      <c r="M46" s="89">
        <f>(' Pivot Table for Data Exchange'!$C$175)*100</f>
        <v>1.5454741039020277</v>
      </c>
      <c r="N46" s="89">
        <f>(' Pivot Table for Data Exchange'!$C$178)*100</f>
        <v>0</v>
      </c>
      <c r="O46" s="159">
        <f>(' Pivot Table for Data Exchange'!$C$181)*100</f>
        <v>1.5697123086682283E-2</v>
      </c>
      <c r="P46" s="89">
        <f>(' Pivot Table for Data Exchange'!$C$184)*100</f>
        <v>0</v>
      </c>
      <c r="Q46" s="23">
        <f t="shared" si="7"/>
        <v>100</v>
      </c>
      <c r="R46" s="23">
        <f t="shared" si="3"/>
        <v>100</v>
      </c>
      <c r="S46" s="31"/>
      <c r="T46" s="31"/>
      <c r="U46" s="31"/>
      <c r="V46" s="31"/>
      <c r="W46" s="31"/>
      <c r="X46" s="31"/>
      <c r="Y46" s="31"/>
      <c r="Z46" s="31"/>
      <c r="AA46" s="31"/>
      <c r="AB46" s="31"/>
      <c r="AC46" s="31"/>
      <c r="AD46" s="31"/>
      <c r="AE46" s="31"/>
      <c r="AF46" s="31"/>
      <c r="AG46" s="31"/>
      <c r="AH46" s="31"/>
      <c r="AI46" s="31"/>
      <c r="AJ46" s="31"/>
      <c r="AK46" s="31"/>
      <c r="AL46" s="31"/>
      <c r="AM46" s="31"/>
      <c r="AN46" s="31"/>
      <c r="AO46" s="31"/>
    </row>
    <row r="47" spans="1:41" ht="15.75" customHeight="1">
      <c r="A47" s="24" t="s">
        <v>225</v>
      </c>
      <c r="B47" s="89">
        <f>(' Pivot Table for Data Exchange'!$C$187)*100</f>
        <v>95.217292070146826</v>
      </c>
      <c r="C47" s="89">
        <f>(' Pivot Table for Data Exchange'!$C$190)*100</f>
        <v>1.3201279909236352</v>
      </c>
      <c r="D47" s="83">
        <f>SUM(E47:G47)</f>
        <v>3.4625799389295389</v>
      </c>
      <c r="E47" s="89">
        <f>(' Pivot Table for Data Exchange'!$C$193)*100</f>
        <v>2.7428525844150666</v>
      </c>
      <c r="F47" s="89">
        <f>(' Pivot Table for Data Exchange'!$C$196)*100</f>
        <v>0</v>
      </c>
      <c r="G47" s="91">
        <f>(' Pivot Table for Data Exchange'!$C$199)*100</f>
        <v>0.71972735451447212</v>
      </c>
      <c r="H47" s="89">
        <f>(' Pivot Table for Data Exchange'!$C$202)*100</f>
        <v>0</v>
      </c>
      <c r="I47" s="24" t="s">
        <v>225</v>
      </c>
      <c r="J47" s="89">
        <f>(' Pivot Table for Data Exchange'!$C$205)*100</f>
        <v>87.055895984323001</v>
      </c>
      <c r="K47" s="89">
        <f>(' Pivot Table for Data Exchange'!$C$208)*100</f>
        <v>5.3308034464524559</v>
      </c>
      <c r="L47" s="83">
        <f>SUM(M47:O47)</f>
        <v>7.613300569224549</v>
      </c>
      <c r="M47" s="89">
        <f>(' Pivot Table for Data Exchange'!$C$211)*100</f>
        <v>6.8468692649849148</v>
      </c>
      <c r="N47" s="89">
        <f>(' Pivot Table for Data Exchange'!$C$214)*100</f>
        <v>0</v>
      </c>
      <c r="O47" s="91">
        <f>(' Pivot Table for Data Exchange'!$C$217)*100</f>
        <v>0.76643130423963424</v>
      </c>
      <c r="P47" s="89">
        <f>(' Pivot Table for Data Exchange'!$C$220)*100</f>
        <v>0</v>
      </c>
      <c r="Q47" s="23">
        <f t="shared" si="7"/>
        <v>100</v>
      </c>
      <c r="R47" s="23">
        <f t="shared" si="3"/>
        <v>100</v>
      </c>
      <c r="S47" s="31"/>
      <c r="T47" s="31"/>
      <c r="U47" s="31"/>
      <c r="V47" s="31"/>
      <c r="W47" s="31"/>
      <c r="X47" s="31"/>
      <c r="Y47" s="31"/>
      <c r="Z47" s="31"/>
      <c r="AA47" s="31"/>
      <c r="AB47" s="31"/>
      <c r="AC47" s="31"/>
      <c r="AD47" s="31"/>
      <c r="AE47" s="31"/>
      <c r="AF47" s="31"/>
      <c r="AG47" s="31"/>
      <c r="AH47" s="31"/>
      <c r="AI47" s="31"/>
      <c r="AJ47" s="31"/>
      <c r="AK47" s="31"/>
      <c r="AL47" s="31"/>
      <c r="AM47" s="31"/>
      <c r="AN47" s="31"/>
      <c r="AO47" s="31"/>
    </row>
    <row r="48" spans="1:41" ht="15.75" customHeight="1">
      <c r="A48" s="24" t="s">
        <v>226</v>
      </c>
      <c r="B48" s="89">
        <f>(' Pivot Table for Data Exchange'!$C$223)*100</f>
        <v>94.855112343496998</v>
      </c>
      <c r="C48" s="89">
        <f>(' Pivot Table for Data Exchange'!$C$226)*100</f>
        <v>0</v>
      </c>
      <c r="D48" s="83">
        <f>SUM(E48:G48)</f>
        <v>0</v>
      </c>
      <c r="E48" s="89">
        <f>(' Pivot Table for Data Exchange'!$C$229)*100</f>
        <v>0</v>
      </c>
      <c r="F48" s="89">
        <f>(' Pivot Table for Data Exchange'!$C$232)*100</f>
        <v>0</v>
      </c>
      <c r="G48" s="91">
        <f>(' Pivot Table for Data Exchange'!$C$235)*100</f>
        <v>0</v>
      </c>
      <c r="H48" s="89">
        <f>(' Pivot Table for Data Exchange'!$C$238)*100</f>
        <v>5.1448876565030108</v>
      </c>
      <c r="I48" s="24" t="s">
        <v>226</v>
      </c>
      <c r="J48" s="89">
        <f>(' Pivot Table for Data Exchange'!$C$241)*100</f>
        <v>100</v>
      </c>
      <c r="K48" s="89">
        <f>(' Pivot Table for Data Exchange'!$C$244)*100</f>
        <v>0</v>
      </c>
      <c r="L48" s="83">
        <f>SUM(M48:O48)</f>
        <v>0</v>
      </c>
      <c r="M48" s="89">
        <f>(' Pivot Table for Data Exchange'!$C$247)*100</f>
        <v>0</v>
      </c>
      <c r="N48" s="89">
        <f>(' Pivot Table for Data Exchange'!$C$250)*100</f>
        <v>0</v>
      </c>
      <c r="O48" s="91">
        <f>(' Pivot Table for Data Exchange'!$C$253)*100</f>
        <v>0</v>
      </c>
      <c r="P48" s="89">
        <f>(' Pivot Table for Data Exchange'!$C$256)*100</f>
        <v>0</v>
      </c>
      <c r="Q48" s="23">
        <f t="shared" si="7"/>
        <v>100.00000000000001</v>
      </c>
      <c r="R48" s="23">
        <f t="shared" si="3"/>
        <v>100</v>
      </c>
      <c r="S48" s="31"/>
      <c r="T48" s="40"/>
      <c r="U48" s="31"/>
      <c r="V48" s="31"/>
      <c r="W48" s="31"/>
      <c r="X48" s="31"/>
      <c r="Y48" s="31"/>
      <c r="Z48" s="31"/>
      <c r="AA48" s="31"/>
      <c r="AB48" s="31"/>
      <c r="AC48" s="31"/>
      <c r="AD48" s="31"/>
      <c r="AE48" s="31"/>
      <c r="AF48" s="31"/>
      <c r="AG48" s="31"/>
      <c r="AH48" s="31"/>
      <c r="AI48" s="31"/>
      <c r="AJ48" s="31"/>
      <c r="AK48" s="31"/>
      <c r="AL48" s="31"/>
      <c r="AM48" s="31"/>
      <c r="AN48" s="31"/>
      <c r="AO48" s="31"/>
    </row>
    <row r="49" spans="1:41" ht="15.75" customHeight="1">
      <c r="A49" s="24" t="s">
        <v>227</v>
      </c>
      <c r="B49" s="89">
        <f>(' Pivot Table for Data Exchange'!$C$259)*100</f>
        <v>97.627477821782307</v>
      </c>
      <c r="C49" s="89">
        <f>(' Pivot Table for Data Exchange'!$C$262)*100</f>
        <v>1.8044209468396644</v>
      </c>
      <c r="D49" s="83">
        <f>SUM(E49:G49)</f>
        <v>0.56810123137803059</v>
      </c>
      <c r="E49" s="89">
        <f>(' Pivot Table for Data Exchange'!$C$265)*100</f>
        <v>0.52458873308676257</v>
      </c>
      <c r="F49" s="156">
        <f>(' Pivot Table for Data Exchange'!$C$268)*100</f>
        <v>4.3512498291268048E-2</v>
      </c>
      <c r="G49" s="91">
        <f>(' Pivot Table for Data Exchange'!$C$271)*100</f>
        <v>0</v>
      </c>
      <c r="H49" s="89">
        <f>(' Pivot Table for Data Exchange'!$C$274)*100</f>
        <v>0</v>
      </c>
      <c r="I49" s="24" t="s">
        <v>227</v>
      </c>
      <c r="J49" s="89">
        <f>(' Pivot Table for Data Exchange'!$C$277)*100</f>
        <v>77.411080855157707</v>
      </c>
      <c r="K49" s="89">
        <f>(' Pivot Table for Data Exchange'!$C$280)*100</f>
        <v>20.012883541863943</v>
      </c>
      <c r="L49" s="83">
        <f>SUM(M49:O49)</f>
        <v>2.5760356029783522</v>
      </c>
      <c r="M49" s="89">
        <f>(' Pivot Table for Data Exchange'!$C$283)*100</f>
        <v>2.080204252914355</v>
      </c>
      <c r="N49" s="89">
        <f>(' Pivot Table for Data Exchange'!$C$286)*100</f>
        <v>0.4958313500639972</v>
      </c>
      <c r="O49" s="91">
        <f>(' Pivot Table for Data Exchange'!$C$289)*100</f>
        <v>0</v>
      </c>
      <c r="P49" s="89">
        <f>(' Pivot Table for Data Exchange'!$C$292)*100</f>
        <v>0</v>
      </c>
      <c r="Q49" s="23">
        <f t="shared" si="7"/>
        <v>100.00000000000001</v>
      </c>
      <c r="R49" s="23">
        <f t="shared" si="3"/>
        <v>100</v>
      </c>
      <c r="S49" s="31"/>
      <c r="U49" s="31"/>
      <c r="V49" s="31"/>
      <c r="W49" s="31"/>
      <c r="X49" s="31"/>
      <c r="Y49" s="31"/>
      <c r="Z49" s="31"/>
      <c r="AA49" s="31"/>
      <c r="AB49" s="31"/>
      <c r="AC49" s="31"/>
      <c r="AD49" s="31"/>
      <c r="AE49" s="31"/>
      <c r="AF49" s="31"/>
      <c r="AG49" s="31"/>
      <c r="AH49" s="31"/>
      <c r="AI49" s="31"/>
      <c r="AJ49" s="31"/>
      <c r="AK49" s="31"/>
      <c r="AL49" s="31"/>
      <c r="AM49" s="31"/>
      <c r="AN49" s="31"/>
      <c r="AO49" s="31"/>
    </row>
    <row r="50" spans="1:41" ht="12" customHeight="1">
      <c r="A50" s="24"/>
      <c r="B50" s="89"/>
      <c r="C50" s="89"/>
      <c r="D50" s="83"/>
      <c r="E50" s="89"/>
      <c r="F50" s="89"/>
      <c r="G50" s="91"/>
      <c r="H50" s="89"/>
      <c r="I50" s="24"/>
      <c r="J50" s="89"/>
      <c r="K50" s="89"/>
      <c r="L50" s="83"/>
      <c r="M50" s="89"/>
      <c r="N50" s="89"/>
      <c r="O50" s="91"/>
      <c r="P50" s="89"/>
      <c r="Q50" s="23">
        <f t="shared" si="7"/>
        <v>0</v>
      </c>
      <c r="R50" s="23">
        <f t="shared" si="3"/>
        <v>0</v>
      </c>
      <c r="S50" s="31"/>
      <c r="U50" s="31"/>
      <c r="V50" s="31"/>
      <c r="W50" s="31"/>
      <c r="X50" s="31"/>
      <c r="Y50" s="31"/>
      <c r="Z50" s="31"/>
      <c r="AA50" s="31"/>
      <c r="AB50" s="31"/>
      <c r="AC50" s="31"/>
      <c r="AD50" s="31"/>
      <c r="AE50" s="31"/>
      <c r="AF50" s="31"/>
      <c r="AG50" s="31"/>
      <c r="AH50" s="31"/>
      <c r="AI50" s="31"/>
      <c r="AJ50" s="31"/>
      <c r="AK50" s="31"/>
      <c r="AL50" s="31"/>
      <c r="AM50" s="31"/>
      <c r="AN50" s="31"/>
      <c r="AO50" s="31"/>
    </row>
    <row r="51" spans="1:41" ht="15.75" customHeight="1">
      <c r="A51" s="24" t="s">
        <v>204</v>
      </c>
      <c r="B51" s="89">
        <f>(' Pivot Table for Data Exchange'!$C$295)*100</f>
        <v>86.40179834672756</v>
      </c>
      <c r="C51" s="89">
        <f>(' Pivot Table for Data Exchange'!$C$298)*100</f>
        <v>7.1902268760907511</v>
      </c>
      <c r="D51" s="83">
        <f>SUM(E51:G51)</f>
        <v>6.0705693088861592</v>
      </c>
      <c r="E51" s="89">
        <f>(' Pivot Table for Data Exchange'!$C$301)*100</f>
        <v>5.3890073901708568</v>
      </c>
      <c r="F51" s="89">
        <f>(' Pivot Table for Data Exchange'!$C$304)*100</f>
        <v>0.15426712343524443</v>
      </c>
      <c r="G51" s="91">
        <f>(' Pivot Table for Data Exchange'!$C$307)*100</f>
        <v>0.52729479528005807</v>
      </c>
      <c r="H51" s="89">
        <f>(' Pivot Table for Data Exchange'!$C$310)*100</f>
        <v>0.33740546829552065</v>
      </c>
      <c r="I51" s="24" t="s">
        <v>204</v>
      </c>
      <c r="J51" s="89">
        <f>(' Pivot Table for Data Exchange'!$C$313)*100</f>
        <v>72.481786777029114</v>
      </c>
      <c r="K51" s="89">
        <f>(' Pivot Table for Data Exchange'!$C$316)*100</f>
        <v>9.7804152272804998</v>
      </c>
      <c r="L51" s="83">
        <f>SUM(M51:O51)</f>
        <v>17.735232753018433</v>
      </c>
      <c r="M51" s="89">
        <f>(' Pivot Table for Data Exchange'!$C$319)*100</f>
        <v>16.898108561069876</v>
      </c>
      <c r="N51" s="89">
        <f>(' Pivot Table for Data Exchange'!$C$322)*100</f>
        <v>0.80377603721312041</v>
      </c>
      <c r="O51" s="159">
        <f>(' Pivot Table for Data Exchange'!$C$325)*100</f>
        <v>3.3348154735437972E-2</v>
      </c>
      <c r="P51" s="158">
        <f>(' Pivot Table for Data Exchange'!$C$328)*100</f>
        <v>2.5652426719567673E-3</v>
      </c>
      <c r="Q51" s="23">
        <f t="shared" si="7"/>
        <v>99.999999999999986</v>
      </c>
      <c r="R51" s="23">
        <f t="shared" si="3"/>
        <v>100.00000000000001</v>
      </c>
      <c r="S51" s="31"/>
      <c r="T51" s="31"/>
      <c r="U51" s="31"/>
      <c r="V51" s="31"/>
      <c r="W51" s="31"/>
      <c r="X51" s="31"/>
      <c r="Y51" s="31"/>
      <c r="Z51" s="31"/>
      <c r="AA51" s="31"/>
      <c r="AB51" s="31"/>
      <c r="AC51" s="31"/>
      <c r="AD51" s="31"/>
      <c r="AE51" s="31"/>
      <c r="AF51" s="31"/>
      <c r="AG51" s="31"/>
      <c r="AH51" s="31"/>
      <c r="AI51" s="31"/>
      <c r="AJ51" s="31"/>
      <c r="AK51" s="31"/>
      <c r="AL51" s="31"/>
      <c r="AM51" s="31"/>
      <c r="AN51" s="31"/>
      <c r="AO51" s="31"/>
    </row>
    <row r="52" spans="1:41" ht="15.75" customHeight="1">
      <c r="A52" s="24" t="s">
        <v>212</v>
      </c>
      <c r="B52" s="89">
        <f>(' Pivot Table for Data Exchange'!$C$331)*100</f>
        <v>94.798497164556451</v>
      </c>
      <c r="C52" s="89">
        <f>(' Pivot Table for Data Exchange'!$C$334)*100</f>
        <v>0.37663218471848697</v>
      </c>
      <c r="D52" s="83">
        <f>SUM(E52:G52)</f>
        <v>4.8248706507250603</v>
      </c>
      <c r="E52" s="89">
        <f>(' Pivot Table for Data Exchange'!$C$337)*100</f>
        <v>3.8646978045038054</v>
      </c>
      <c r="F52" s="156">
        <f>(' Pivot Table for Data Exchange'!$C$340)*100</f>
        <v>1.9809493112004216E-2</v>
      </c>
      <c r="G52" s="91">
        <f>(' Pivot Table for Data Exchange'!$C$343)*100</f>
        <v>0.94036335310925101</v>
      </c>
      <c r="H52" s="89">
        <f>(' Pivot Table for Data Exchange'!$C$346)*100</f>
        <v>0</v>
      </c>
      <c r="I52" s="24" t="s">
        <v>212</v>
      </c>
      <c r="J52" s="89">
        <f>(' Pivot Table for Data Exchange'!$C$349)*100</f>
        <v>84.485915446576172</v>
      </c>
      <c r="K52" s="89">
        <f>(' Pivot Table for Data Exchange'!$C$352)*100</f>
        <v>7.6508400677059658</v>
      </c>
      <c r="L52" s="83">
        <f>SUM(M52:O52)</f>
        <v>7.8632444857178623</v>
      </c>
      <c r="M52" s="89">
        <f>(' Pivot Table for Data Exchange'!$C$355)*100</f>
        <v>7.2750982987888015</v>
      </c>
      <c r="N52" s="89">
        <f>(' Pivot Table for Data Exchange'!$C$358)*100</f>
        <v>0.54533599415146905</v>
      </c>
      <c r="O52" s="159">
        <f>(' Pivot Table for Data Exchange'!$C$361)*100</f>
        <v>4.2810192777591169E-2</v>
      </c>
      <c r="P52" s="89">
        <f>(' Pivot Table for Data Exchange'!$C$364)*100</f>
        <v>0</v>
      </c>
      <c r="Q52" s="23">
        <f t="shared" si="7"/>
        <v>100</v>
      </c>
      <c r="R52" s="23">
        <f t="shared" si="3"/>
        <v>100</v>
      </c>
      <c r="S52" s="31"/>
      <c r="T52" s="31"/>
      <c r="U52" s="31"/>
      <c r="V52" s="31"/>
      <c r="W52" s="31"/>
      <c r="X52" s="31"/>
      <c r="Y52" s="31"/>
      <c r="Z52" s="31"/>
      <c r="AA52" s="31"/>
      <c r="AB52" s="31"/>
      <c r="AC52" s="31"/>
      <c r="AD52" s="31"/>
      <c r="AE52" s="31"/>
      <c r="AF52" s="31"/>
      <c r="AG52" s="31"/>
      <c r="AH52" s="31"/>
      <c r="AI52" s="31"/>
      <c r="AJ52" s="31"/>
      <c r="AK52" s="31"/>
      <c r="AL52" s="31"/>
      <c r="AM52" s="31"/>
      <c r="AN52" s="31"/>
      <c r="AO52" s="31"/>
    </row>
    <row r="53" spans="1:41" ht="15.75" customHeight="1">
      <c r="A53" s="24" t="s">
        <v>205</v>
      </c>
      <c r="B53" s="89">
        <f>(' Pivot Table for Data Exchange'!$C$367)*100</f>
        <v>94.046746343831657</v>
      </c>
      <c r="C53" s="89">
        <f>(' Pivot Table for Data Exchange'!$C$370)*100</f>
        <v>0.64438697647789278</v>
      </c>
      <c r="D53" s="83">
        <f>SUM(E53:G53)</f>
        <v>5.1849795842577322</v>
      </c>
      <c r="E53" s="89">
        <f>(' Pivot Table for Data Exchange'!$C$373)*100</f>
        <v>5.1415562385518072</v>
      </c>
      <c r="F53" s="156">
        <f>(' Pivot Table for Data Exchange'!$C$376)*100</f>
        <v>6.1895192097531351E-3</v>
      </c>
      <c r="G53" s="159">
        <f>(' Pivot Table for Data Exchange'!$C$379)*100</f>
        <v>3.7233826496171199E-2</v>
      </c>
      <c r="H53" s="89">
        <f>(' Pivot Table for Data Exchange'!$C$382)*100</f>
        <v>0.12388709543271509</v>
      </c>
      <c r="I53" s="24" t="s">
        <v>205</v>
      </c>
      <c r="J53" s="89">
        <f>(' Pivot Table for Data Exchange'!$C$385)*100</f>
        <v>76.215507585785559</v>
      </c>
      <c r="K53" s="89">
        <f>(' Pivot Table for Data Exchange'!$C$388)*100</f>
        <v>12.11752876489156</v>
      </c>
      <c r="L53" s="83">
        <f>SUM(M53:O53)</f>
        <v>11.503411057937074</v>
      </c>
      <c r="M53" s="89">
        <f>(' Pivot Table for Data Exchange'!$C$391)*100</f>
        <v>10.701557886162306</v>
      </c>
      <c r="N53" s="89">
        <f>(' Pivot Table for Data Exchange'!$C$394)*100</f>
        <v>0.40856328276142961</v>
      </c>
      <c r="O53" s="91">
        <f>(' Pivot Table for Data Exchange'!$C$397)*100</f>
        <v>0.39328988901333878</v>
      </c>
      <c r="P53" s="89">
        <f>(' Pivot Table for Data Exchange'!$C$400)*100</f>
        <v>0.16355259138580591</v>
      </c>
      <c r="Q53" s="23">
        <f t="shared" si="7"/>
        <v>100</v>
      </c>
      <c r="R53" s="23">
        <f t="shared" si="3"/>
        <v>100</v>
      </c>
      <c r="S53" s="31"/>
      <c r="T53" s="40"/>
      <c r="U53" s="31"/>
      <c r="V53" s="31"/>
      <c r="W53" s="31"/>
      <c r="X53" s="31"/>
      <c r="Y53" s="31"/>
      <c r="Z53" s="31"/>
      <c r="AA53" s="31"/>
      <c r="AB53" s="31"/>
      <c r="AC53" s="31"/>
      <c r="AD53" s="31"/>
      <c r="AE53" s="31"/>
      <c r="AF53" s="31"/>
      <c r="AG53" s="31"/>
      <c r="AH53" s="31"/>
      <c r="AI53" s="31"/>
      <c r="AJ53" s="31"/>
      <c r="AK53" s="31"/>
      <c r="AL53" s="31"/>
      <c r="AM53" s="31"/>
      <c r="AN53" s="31"/>
      <c r="AO53" s="31"/>
    </row>
    <row r="54" spans="1:41" ht="15.75" customHeight="1">
      <c r="A54" s="24" t="s">
        <v>228</v>
      </c>
      <c r="B54" s="89">
        <f>(' Pivot Table for Data Exchange'!$C$403)*100</f>
        <v>95.498062199994308</v>
      </c>
      <c r="C54" s="89">
        <f>(' Pivot Table for Data Exchange'!$C$406)*100</f>
        <v>1.7570237276225567</v>
      </c>
      <c r="D54" s="83">
        <f>SUM(E54:G54)</f>
        <v>2.7449140723831356</v>
      </c>
      <c r="E54" s="89">
        <f>(' Pivot Table for Data Exchange'!$C$409)*100</f>
        <v>2.1039532297811743</v>
      </c>
      <c r="F54" s="89">
        <f>(' Pivot Table for Data Exchange'!$C$412)*100</f>
        <v>0.13631826831635654</v>
      </c>
      <c r="G54" s="91">
        <f>(' Pivot Table for Data Exchange'!$C$415)*100</f>
        <v>0.50464257428560499</v>
      </c>
      <c r="H54" s="89">
        <f>(' Pivot Table for Data Exchange'!$C$418)*100</f>
        <v>0</v>
      </c>
      <c r="I54" s="24" t="s">
        <v>228</v>
      </c>
      <c r="J54" s="89">
        <f>(' Pivot Table for Data Exchange'!$C$421)*100</f>
        <v>74.917147600127052</v>
      </c>
      <c r="K54" s="89">
        <f>(' Pivot Table for Data Exchange'!$C$424)*100</f>
        <v>8.8833354308624433</v>
      </c>
      <c r="L54" s="83">
        <f>SUM(M54:O54)</f>
        <v>16.199516969010507</v>
      </c>
      <c r="M54" s="89">
        <f>(' Pivot Table for Data Exchange'!$C$427)*100</f>
        <v>10.952098428051755</v>
      </c>
      <c r="N54" s="89">
        <f>(' Pivot Table for Data Exchange'!$C$430)*100</f>
        <v>5.0340698656982069E-2</v>
      </c>
      <c r="O54" s="91">
        <f>(' Pivot Table for Data Exchange'!$C$433)*100</f>
        <v>5.1970778423017689</v>
      </c>
      <c r="P54" s="89">
        <f>(' Pivot Table for Data Exchange'!$C$436)*100</f>
        <v>0</v>
      </c>
      <c r="Q54" s="23">
        <f t="shared" si="7"/>
        <v>100</v>
      </c>
      <c r="R54" s="23">
        <f t="shared" si="3"/>
        <v>100</v>
      </c>
      <c r="S54" s="31"/>
      <c r="T54" s="31"/>
      <c r="U54" s="31"/>
      <c r="V54" s="31"/>
      <c r="W54" s="31"/>
      <c r="X54" s="31"/>
      <c r="Y54" s="31"/>
      <c r="Z54" s="31"/>
      <c r="AA54" s="31"/>
      <c r="AB54" s="31"/>
      <c r="AC54" s="31"/>
      <c r="AD54" s="31"/>
      <c r="AE54" s="31"/>
      <c r="AF54" s="31"/>
      <c r="AG54" s="31"/>
      <c r="AH54" s="31"/>
      <c r="AI54" s="31"/>
      <c r="AJ54" s="31"/>
      <c r="AK54" s="31"/>
      <c r="AL54" s="31"/>
      <c r="AM54" s="31"/>
      <c r="AN54" s="31"/>
      <c r="AO54" s="31"/>
    </row>
    <row r="55" spans="1:41" ht="14.25" customHeight="1">
      <c r="A55" s="24"/>
      <c r="B55" s="89"/>
      <c r="C55" s="89"/>
      <c r="D55" s="83"/>
      <c r="E55" s="89"/>
      <c r="F55" s="89"/>
      <c r="G55" s="91"/>
      <c r="H55" s="89"/>
      <c r="I55" s="24"/>
      <c r="J55" s="89"/>
      <c r="K55" s="89"/>
      <c r="L55" s="83"/>
      <c r="M55" s="89"/>
      <c r="N55" s="89"/>
      <c r="O55" s="91"/>
      <c r="P55" s="89"/>
      <c r="Q55" s="23">
        <f t="shared" si="7"/>
        <v>0</v>
      </c>
      <c r="R55" s="23">
        <f t="shared" si="3"/>
        <v>0</v>
      </c>
      <c r="S55" s="31"/>
      <c r="T55" s="31"/>
      <c r="U55" s="31"/>
      <c r="V55" s="31"/>
      <c r="W55" s="31"/>
      <c r="X55" s="31"/>
      <c r="Y55" s="31"/>
      <c r="Z55" s="31"/>
      <c r="AA55" s="31"/>
      <c r="AB55" s="31"/>
      <c r="AC55" s="31"/>
      <c r="AD55" s="31"/>
      <c r="AE55" s="31"/>
      <c r="AF55" s="31"/>
      <c r="AG55" s="31"/>
      <c r="AH55" s="31"/>
      <c r="AI55" s="31"/>
      <c r="AJ55" s="31"/>
      <c r="AK55" s="31"/>
      <c r="AL55" s="31"/>
      <c r="AM55" s="31"/>
      <c r="AN55" s="31"/>
      <c r="AO55" s="31"/>
    </row>
    <row r="56" spans="1:41" ht="15.75" customHeight="1">
      <c r="A56" s="24" t="s">
        <v>229</v>
      </c>
      <c r="B56" s="89">
        <f>(' Pivot Table for Data Exchange'!$C$439)*100</f>
        <v>86.420371294701084</v>
      </c>
      <c r="C56" s="89">
        <f>(' Pivot Table for Data Exchange'!$C$442)*100</f>
        <v>5.2329045035181217E-2</v>
      </c>
      <c r="D56" s="83">
        <f>SUM(E56:G56)</f>
        <v>13.478834913938847</v>
      </c>
      <c r="E56" s="89">
        <f>(' Pivot Table for Data Exchange'!$C$445)*100</f>
        <v>0.14475018918962437</v>
      </c>
      <c r="F56" s="89">
        <f>(' Pivot Table for Data Exchange'!$C$448)*100</f>
        <v>9.6768480203519733E-2</v>
      </c>
      <c r="G56" s="91">
        <f>(' Pivot Table for Data Exchange'!$C$451)*100</f>
        <v>13.237316244545703</v>
      </c>
      <c r="H56" s="156">
        <f>(' Pivot Table for Data Exchange'!$C$454)*100</f>
        <v>4.8464746324890909E-2</v>
      </c>
      <c r="I56" s="24" t="s">
        <v>229</v>
      </c>
      <c r="J56" s="89">
        <f>(' Pivot Table for Data Exchange'!$C$457)*100</f>
        <v>83.71813627336401</v>
      </c>
      <c r="K56" s="89">
        <f>(' Pivot Table for Data Exchange'!$C$460)*100</f>
        <v>0.3816700311383901</v>
      </c>
      <c r="L56" s="83">
        <f>SUM(M56:O56)</f>
        <v>14.547594334611016</v>
      </c>
      <c r="M56" s="89">
        <f>(' Pivot Table for Data Exchange'!$C$463)*100</f>
        <v>4.7974370080992506</v>
      </c>
      <c r="N56" s="89">
        <f>(' Pivot Table for Data Exchange'!$C$466)*100</f>
        <v>6.1296043544709342E-2</v>
      </c>
      <c r="O56" s="91">
        <f>(' Pivot Table for Data Exchange'!$C$469)*100</f>
        <v>9.6888612829670553</v>
      </c>
      <c r="P56" s="89">
        <f>(' Pivot Table for Data Exchange'!$C$472)*100</f>
        <v>1.3525993608865861</v>
      </c>
      <c r="Q56" s="23">
        <f t="shared" si="7"/>
        <v>100</v>
      </c>
      <c r="R56" s="23">
        <f t="shared" si="3"/>
        <v>100</v>
      </c>
      <c r="S56" s="31"/>
      <c r="T56" s="31"/>
      <c r="U56" s="31"/>
      <c r="V56" s="31"/>
      <c r="W56" s="31"/>
      <c r="X56" s="31"/>
      <c r="Y56" s="31"/>
      <c r="Z56" s="31"/>
      <c r="AA56" s="31"/>
      <c r="AB56" s="31"/>
      <c r="AC56" s="31"/>
      <c r="AD56" s="31"/>
      <c r="AE56" s="31"/>
      <c r="AF56" s="31"/>
      <c r="AG56" s="31"/>
      <c r="AH56" s="31"/>
      <c r="AI56" s="31"/>
      <c r="AJ56" s="31"/>
      <c r="AK56" s="31"/>
      <c r="AL56" s="31"/>
      <c r="AM56" s="31"/>
      <c r="AN56" s="31"/>
      <c r="AO56" s="31"/>
    </row>
    <row r="57" spans="1:41" ht="15.75" customHeight="1">
      <c r="A57" s="24" t="s">
        <v>213</v>
      </c>
      <c r="B57" s="89">
        <f>(' Pivot Table for Data Exchange'!$C$475)*100</f>
        <v>94.043609008651728</v>
      </c>
      <c r="C57" s="89">
        <f>(' Pivot Table for Data Exchange'!$C$478)*100</f>
        <v>0.9974818432783914</v>
      </c>
      <c r="D57" s="83">
        <f>SUM(E57:G57)</f>
        <v>4.9589091480698757</v>
      </c>
      <c r="E57" s="89">
        <f>(' Pivot Table for Data Exchange'!$C$481)*100</f>
        <v>3.3767341223078278</v>
      </c>
      <c r="F57" s="156">
        <f>(' Pivot Table for Data Exchange'!$C$484)*100</f>
        <v>2.0342514519726587E-2</v>
      </c>
      <c r="G57" s="91">
        <f>(' Pivot Table for Data Exchange'!$C$487)*100</f>
        <v>1.5618325112423215</v>
      </c>
      <c r="H57" s="89">
        <f>(' Pivot Table for Data Exchange'!$C$490)*100</f>
        <v>0</v>
      </c>
      <c r="I57" s="24" t="s">
        <v>213</v>
      </c>
      <c r="J57" s="89">
        <f>(' Pivot Table for Data Exchange'!$C$493)*100</f>
        <v>89.602261439055411</v>
      </c>
      <c r="K57" s="89">
        <f>(' Pivot Table for Data Exchange'!$C$496)*100</f>
        <v>2.3731798007424509</v>
      </c>
      <c r="L57" s="83">
        <f>SUM(M57:O57)</f>
        <v>8.024558760202142</v>
      </c>
      <c r="M57" s="89">
        <f>(' Pivot Table for Data Exchange'!$C$499)*100</f>
        <v>7.4576862606282299</v>
      </c>
      <c r="N57" s="89">
        <f>(' Pivot Table for Data Exchange'!$C$502)*100</f>
        <v>0.20895922773832898</v>
      </c>
      <c r="O57" s="91">
        <f>(' Pivot Table for Data Exchange'!$C$505)*100</f>
        <v>0.3579132718355838</v>
      </c>
      <c r="P57" s="89">
        <f>(' Pivot Table for Data Exchange'!$C$508)*100</f>
        <v>0</v>
      </c>
      <c r="Q57" s="23">
        <f t="shared" si="7"/>
        <v>100</v>
      </c>
      <c r="R57" s="23">
        <f t="shared" si="3"/>
        <v>100</v>
      </c>
      <c r="S57" s="31"/>
      <c r="T57" s="31"/>
      <c r="U57" s="31"/>
      <c r="V57" s="31"/>
      <c r="W57" s="31"/>
      <c r="X57" s="31"/>
      <c r="Y57" s="31"/>
      <c r="Z57" s="31"/>
      <c r="AA57" s="31"/>
      <c r="AB57" s="31"/>
      <c r="AC57" s="31"/>
      <c r="AD57" s="31"/>
      <c r="AE57" s="31"/>
      <c r="AF57" s="31"/>
      <c r="AG57" s="31"/>
      <c r="AH57" s="31"/>
      <c r="AI57" s="31"/>
      <c r="AJ57" s="31"/>
      <c r="AK57" s="31"/>
      <c r="AL57" s="31"/>
      <c r="AM57" s="31"/>
      <c r="AN57" s="31"/>
      <c r="AO57" s="31"/>
    </row>
    <row r="58" spans="1:41" ht="15.75" customHeight="1">
      <c r="A58" s="24" t="s">
        <v>230</v>
      </c>
      <c r="B58" s="89">
        <f>(' Pivot Table for Data Exchange'!$C$511)*100</f>
        <v>0</v>
      </c>
      <c r="C58" s="89">
        <f>(' Pivot Table for Data Exchange'!$C$514)*100</f>
        <v>0</v>
      </c>
      <c r="D58" s="83">
        <f>SUM(E58:G58)</f>
        <v>0</v>
      </c>
      <c r="E58" s="89">
        <f>(' Pivot Table for Data Exchange'!$C$517)*100</f>
        <v>0</v>
      </c>
      <c r="F58" s="89">
        <f>(' Pivot Table for Data Exchange'!$C$520)*100</f>
        <v>0</v>
      </c>
      <c r="G58" s="91">
        <f>(' Pivot Table for Data Exchange'!$C$523)*100</f>
        <v>0</v>
      </c>
      <c r="H58" s="89">
        <f>(' Pivot Table for Data Exchange'!$C$526)*100</f>
        <v>0</v>
      </c>
      <c r="I58" s="24" t="s">
        <v>230</v>
      </c>
      <c r="J58" s="89">
        <f>(' Pivot Table for Data Exchange'!$C$529)*100</f>
        <v>0</v>
      </c>
      <c r="K58" s="89">
        <f>(' Pivot Table for Data Exchange'!$C$532)*100</f>
        <v>0</v>
      </c>
      <c r="L58" s="83">
        <f>SUM(M58:O58)</f>
        <v>0</v>
      </c>
      <c r="M58" s="89">
        <f>(' Pivot Table for Data Exchange'!$C$535)*100</f>
        <v>0</v>
      </c>
      <c r="N58" s="89">
        <f>(' Pivot Table for Data Exchange'!$C$538)*100</f>
        <v>0</v>
      </c>
      <c r="O58" s="91">
        <f>(' Pivot Table for Data Exchange'!$C$541)*100</f>
        <v>0</v>
      </c>
      <c r="P58" s="89">
        <f>(' Pivot Table for Data Exchange'!$C$544)*100</f>
        <v>0</v>
      </c>
      <c r="Q58" s="23">
        <f t="shared" si="7"/>
        <v>0</v>
      </c>
      <c r="R58" s="23">
        <f t="shared" si="3"/>
        <v>0</v>
      </c>
      <c r="S58" s="31"/>
      <c r="T58" s="31"/>
      <c r="U58" s="31"/>
      <c r="V58" s="31"/>
      <c r="W58" s="31"/>
      <c r="X58" s="31"/>
      <c r="Y58" s="31"/>
      <c r="Z58" s="31"/>
      <c r="AA58" s="31"/>
      <c r="AB58" s="31"/>
      <c r="AC58" s="31"/>
      <c r="AD58" s="31"/>
      <c r="AE58" s="31"/>
      <c r="AF58" s="31"/>
      <c r="AG58" s="31"/>
      <c r="AH58" s="31"/>
      <c r="AI58" s="31"/>
      <c r="AJ58" s="31"/>
      <c r="AK58" s="31"/>
      <c r="AL58" s="31"/>
      <c r="AM58" s="31"/>
      <c r="AN58" s="31"/>
      <c r="AO58" s="31"/>
    </row>
    <row r="59" spans="1:41" ht="15.75" customHeight="1">
      <c r="A59" s="18" t="s">
        <v>206</v>
      </c>
      <c r="B59" s="92">
        <f>(' Pivot Table for Data Exchange'!$C$547)*100</f>
        <v>94.858876514002304</v>
      </c>
      <c r="C59" s="92">
        <f>(' Pivot Table for Data Exchange'!$C$550)*100</f>
        <v>0.18140518278065534</v>
      </c>
      <c r="D59" s="84">
        <f>SUM(E59:G59)</f>
        <v>4.9583035314275827</v>
      </c>
      <c r="E59" s="92">
        <f>(' Pivot Table for Data Exchange'!$C$553)*100</f>
        <v>4.5459761532355047</v>
      </c>
      <c r="F59" s="157">
        <f>(' Pivot Table for Data Exchange'!$C$556)*100</f>
        <v>1.3676127298021677E-2</v>
      </c>
      <c r="G59" s="93">
        <f>(' Pivot Table for Data Exchange'!$C$559)*100</f>
        <v>0.39865125089405712</v>
      </c>
      <c r="H59" s="581">
        <f>(' Pivot Table for Data Exchange'!$C$562)*100</f>
        <v>1.4147717894505184E-3</v>
      </c>
      <c r="I59" s="18" t="s">
        <v>206</v>
      </c>
      <c r="J59" s="92">
        <f>(' Pivot Table for Data Exchange'!$C$565)*100</f>
        <v>67.339358784117991</v>
      </c>
      <c r="K59" s="92">
        <f>(' Pivot Table for Data Exchange'!$C$568)*100</f>
        <v>11.620126804262782</v>
      </c>
      <c r="L59" s="84">
        <f>SUM(M59:O59)</f>
        <v>21.040514411619228</v>
      </c>
      <c r="M59" s="92">
        <f>(' Pivot Table for Data Exchange'!$C$571)*100</f>
        <v>18.428886190925851</v>
      </c>
      <c r="N59" s="92">
        <f>(' Pivot Table for Data Exchange'!$C$574)*100</f>
        <v>2.0837267862763613</v>
      </c>
      <c r="O59" s="93">
        <f>(' Pivot Table for Data Exchange'!$C$577)*100</f>
        <v>0.5279014344170152</v>
      </c>
      <c r="P59" s="92">
        <f>(' Pivot Table for Data Exchange'!$C$580)*100</f>
        <v>0</v>
      </c>
      <c r="Q59" s="23">
        <f t="shared" si="7"/>
        <v>100</v>
      </c>
      <c r="R59" s="23">
        <f t="shared" si="3"/>
        <v>100</v>
      </c>
      <c r="S59" s="31"/>
      <c r="T59" s="31"/>
      <c r="U59" s="31"/>
      <c r="V59" s="31"/>
      <c r="W59" s="31"/>
      <c r="X59" s="31"/>
      <c r="Y59" s="31"/>
      <c r="Z59" s="31"/>
      <c r="AA59" s="31"/>
      <c r="AB59" s="31"/>
      <c r="AC59" s="31"/>
      <c r="AD59" s="31"/>
      <c r="AE59" s="31"/>
      <c r="AF59" s="31"/>
      <c r="AG59" s="31"/>
      <c r="AH59" s="31"/>
      <c r="AI59" s="31"/>
      <c r="AJ59" s="31"/>
      <c r="AK59" s="31"/>
      <c r="AL59" s="31"/>
      <c r="AM59" s="31"/>
      <c r="AN59" s="31"/>
      <c r="AO59" s="31"/>
    </row>
    <row r="60" spans="1:41" s="45" customFormat="1" ht="18" customHeight="1">
      <c r="A60" s="85" t="s">
        <v>35</v>
      </c>
      <c r="B60" s="49"/>
      <c r="C60" s="49"/>
      <c r="D60" s="50"/>
      <c r="E60" s="49"/>
      <c r="F60" s="50"/>
      <c r="G60" s="50"/>
      <c r="H60" s="49"/>
      <c r="I60" s="85" t="s">
        <v>35</v>
      </c>
      <c r="J60" s="49"/>
      <c r="K60" s="49"/>
      <c r="L60" s="50"/>
      <c r="M60" s="49"/>
      <c r="N60" s="50"/>
      <c r="O60" s="50"/>
      <c r="P60" s="49"/>
      <c r="Q60" s="23">
        <f t="shared" si="7"/>
        <v>0</v>
      </c>
      <c r="R60" s="23">
        <f t="shared" si="3"/>
        <v>0</v>
      </c>
      <c r="S60" s="51"/>
      <c r="T60" s="51"/>
      <c r="U60" s="51"/>
      <c r="V60" s="51"/>
      <c r="W60" s="51"/>
      <c r="X60" s="51"/>
      <c r="Y60" s="51"/>
      <c r="Z60" s="51"/>
      <c r="AA60" s="51"/>
      <c r="AB60" s="51"/>
      <c r="AC60" s="51"/>
      <c r="AD60" s="51"/>
      <c r="AE60" s="51"/>
      <c r="AF60" s="51"/>
      <c r="AG60" s="51"/>
      <c r="AH60" s="51"/>
      <c r="AI60" s="51"/>
      <c r="AJ60" s="51"/>
      <c r="AK60" s="51"/>
      <c r="AL60" s="51"/>
      <c r="AM60" s="51"/>
      <c r="AN60" s="51"/>
      <c r="AO60" s="51"/>
    </row>
    <row r="61" spans="1:41" s="45" customFormat="1" ht="24" customHeight="1">
      <c r="A61" s="601" t="s">
        <v>112</v>
      </c>
      <c r="B61" s="602"/>
      <c r="C61" s="602"/>
      <c r="D61" s="602"/>
      <c r="E61" s="602"/>
      <c r="F61" s="602"/>
      <c r="G61" s="602"/>
      <c r="H61" s="602"/>
      <c r="I61" s="601" t="s">
        <v>112</v>
      </c>
      <c r="J61" s="602"/>
      <c r="K61" s="602"/>
      <c r="L61" s="602"/>
      <c r="M61" s="602"/>
      <c r="N61" s="602"/>
      <c r="O61" s="602"/>
      <c r="P61" s="602"/>
      <c r="Q61" s="23">
        <f t="shared" si="7"/>
        <v>0</v>
      </c>
      <c r="R61" s="23">
        <f t="shared" si="3"/>
        <v>0</v>
      </c>
    </row>
    <row r="62" spans="1:41" s="45" customFormat="1" ht="13.5" customHeight="1">
      <c r="A62" s="86"/>
      <c r="B62" s="44"/>
      <c r="H62" s="43"/>
      <c r="I62" s="86"/>
      <c r="P62" s="46"/>
      <c r="Q62" s="23">
        <f t="shared" si="7"/>
        <v>0</v>
      </c>
      <c r="R62" s="23">
        <f t="shared" si="3"/>
        <v>0</v>
      </c>
    </row>
    <row r="63" spans="1:41" s="45" customFormat="1" ht="13.5" customHeight="1">
      <c r="H63" s="572" t="s">
        <v>889</v>
      </c>
      <c r="P63" s="572" t="s">
        <v>889</v>
      </c>
      <c r="Q63" s="23">
        <f t="shared" si="7"/>
        <v>0</v>
      </c>
      <c r="R63" s="23">
        <f t="shared" si="3"/>
        <v>0</v>
      </c>
    </row>
    <row r="64" spans="1:41" ht="18">
      <c r="A64" s="15" t="s">
        <v>1</v>
      </c>
      <c r="B64" s="16"/>
      <c r="C64" s="16"/>
      <c r="D64" s="16"/>
      <c r="E64" s="16"/>
      <c r="F64" s="16"/>
      <c r="G64" s="16"/>
      <c r="H64" s="30"/>
      <c r="I64" s="15" t="s">
        <v>16</v>
      </c>
      <c r="J64" s="17"/>
      <c r="K64" s="17"/>
      <c r="L64" s="16"/>
      <c r="M64" s="17"/>
      <c r="N64" s="17"/>
      <c r="O64" s="17"/>
      <c r="P64" s="17"/>
      <c r="Q64" s="23">
        <f t="shared" si="7"/>
        <v>0</v>
      </c>
      <c r="R64" s="23">
        <f t="shared" si="3"/>
        <v>0</v>
      </c>
    </row>
    <row r="65" spans="1:41">
      <c r="A65" s="58"/>
      <c r="B65" s="17"/>
      <c r="C65" s="17"/>
      <c r="D65" s="17"/>
      <c r="E65" s="17"/>
      <c r="F65" s="17"/>
      <c r="G65" s="17"/>
      <c r="H65" s="27"/>
      <c r="I65" s="58"/>
      <c r="J65" s="17"/>
      <c r="K65" s="17"/>
      <c r="L65" s="17"/>
      <c r="M65" s="17"/>
      <c r="N65" s="17"/>
      <c r="O65" s="17"/>
      <c r="P65" s="17"/>
      <c r="Q65" s="23">
        <f t="shared" si="7"/>
        <v>0</v>
      </c>
      <c r="R65" s="23">
        <f t="shared" si="3"/>
        <v>0</v>
      </c>
    </row>
    <row r="66" spans="1:41" ht="15.75">
      <c r="A66" s="26" t="s">
        <v>23</v>
      </c>
      <c r="B66" s="17"/>
      <c r="C66" s="17"/>
      <c r="D66" s="17"/>
      <c r="E66" s="17"/>
      <c r="F66" s="17"/>
      <c r="G66" s="17"/>
      <c r="H66" s="27"/>
      <c r="I66" s="26" t="s">
        <v>24</v>
      </c>
      <c r="J66" s="17"/>
      <c r="K66" s="17"/>
      <c r="L66" s="17"/>
      <c r="M66" s="17"/>
      <c r="N66" s="17"/>
      <c r="O66" s="17"/>
      <c r="P66" s="17"/>
      <c r="Q66" s="23">
        <f t="shared" si="7"/>
        <v>0</v>
      </c>
      <c r="R66" s="23">
        <f t="shared" si="3"/>
        <v>0</v>
      </c>
    </row>
    <row r="67" spans="1:41" ht="15.75">
      <c r="A67" s="26" t="s">
        <v>754</v>
      </c>
      <c r="B67" s="17"/>
      <c r="C67" s="17"/>
      <c r="D67" s="17"/>
      <c r="E67" s="17"/>
      <c r="F67" s="17"/>
      <c r="G67" s="17"/>
      <c r="H67" s="27"/>
      <c r="I67" s="26" t="s">
        <v>754</v>
      </c>
      <c r="J67" s="17"/>
      <c r="K67" s="17"/>
      <c r="L67" s="17"/>
      <c r="M67" s="17"/>
      <c r="N67" s="17"/>
      <c r="O67" s="17"/>
      <c r="P67" s="17"/>
      <c r="Q67" s="23">
        <f t="shared" si="7"/>
        <v>0</v>
      </c>
      <c r="R67" s="23">
        <f t="shared" si="3"/>
        <v>0</v>
      </c>
    </row>
    <row r="68" spans="1:41">
      <c r="A68" s="18"/>
      <c r="B68" s="19"/>
      <c r="C68" s="19"/>
      <c r="D68" s="19"/>
      <c r="E68" s="19"/>
      <c r="F68" s="19"/>
      <c r="G68" s="19"/>
      <c r="H68" s="19"/>
      <c r="I68" s="20"/>
      <c r="L68" s="21"/>
      <c r="P68" s="18"/>
      <c r="Q68" s="23">
        <f t="shared" si="7"/>
        <v>0</v>
      </c>
      <c r="R68" s="23">
        <f t="shared" si="3"/>
        <v>0</v>
      </c>
    </row>
    <row r="69" spans="1:41" s="67" customFormat="1">
      <c r="A69" s="63"/>
      <c r="B69" s="64" t="s">
        <v>215</v>
      </c>
      <c r="C69" s="64"/>
      <c r="D69" s="64"/>
      <c r="E69" s="64"/>
      <c r="F69" s="64"/>
      <c r="G69" s="64"/>
      <c r="H69" s="65"/>
      <c r="I69" s="63"/>
      <c r="J69" s="64" t="s">
        <v>215</v>
      </c>
      <c r="K69" s="64"/>
      <c r="L69" s="64"/>
      <c r="M69" s="64"/>
      <c r="N69" s="64"/>
      <c r="O69" s="64"/>
      <c r="P69" s="65"/>
      <c r="Q69" s="23">
        <f t="shared" si="7"/>
        <v>0</v>
      </c>
      <c r="R69" s="23">
        <f t="shared" si="3"/>
        <v>0</v>
      </c>
    </row>
    <row r="70" spans="1:41" s="67" customFormat="1">
      <c r="A70" s="63"/>
      <c r="B70" s="64" t="s">
        <v>209</v>
      </c>
      <c r="C70" s="64"/>
      <c r="D70" s="597" t="s">
        <v>30</v>
      </c>
      <c r="E70" s="598"/>
      <c r="F70" s="598"/>
      <c r="G70" s="598"/>
      <c r="H70" s="68" t="s">
        <v>196</v>
      </c>
      <c r="I70" s="63"/>
      <c r="J70" s="64" t="s">
        <v>209</v>
      </c>
      <c r="K70" s="64"/>
      <c r="L70" s="597" t="s">
        <v>30</v>
      </c>
      <c r="M70" s="598"/>
      <c r="N70" s="598"/>
      <c r="O70" s="598"/>
      <c r="P70" s="68" t="s">
        <v>196</v>
      </c>
      <c r="Q70" s="23">
        <f t="shared" si="7"/>
        <v>0</v>
      </c>
      <c r="R70" s="23">
        <f t="shared" si="3"/>
        <v>0</v>
      </c>
    </row>
    <row r="71" spans="1:41" s="67" customFormat="1" ht="40.5" customHeight="1">
      <c r="A71" s="63"/>
      <c r="B71" s="69" t="s">
        <v>22</v>
      </c>
      <c r="C71" s="70" t="s">
        <v>21</v>
      </c>
      <c r="D71" s="71" t="s">
        <v>28</v>
      </c>
      <c r="E71" s="72" t="s">
        <v>195</v>
      </c>
      <c r="F71" s="69" t="s">
        <v>210</v>
      </c>
      <c r="G71" s="73" t="s">
        <v>32</v>
      </c>
      <c r="H71" s="74" t="s">
        <v>31</v>
      </c>
      <c r="I71" s="63"/>
      <c r="J71" s="69" t="s">
        <v>22</v>
      </c>
      <c r="K71" s="70" t="s">
        <v>21</v>
      </c>
      <c r="L71" s="71" t="s">
        <v>28</v>
      </c>
      <c r="M71" s="72" t="s">
        <v>195</v>
      </c>
      <c r="N71" s="69" t="s">
        <v>210</v>
      </c>
      <c r="O71" s="73" t="s">
        <v>32</v>
      </c>
      <c r="P71" s="74" t="s">
        <v>31</v>
      </c>
      <c r="Q71" s="23">
        <f t="shared" si="7"/>
        <v>0</v>
      </c>
      <c r="R71" s="23">
        <f t="shared" si="3"/>
        <v>0</v>
      </c>
      <c r="T71" s="75"/>
    </row>
    <row r="72" spans="1:41" ht="15.75" customHeight="1">
      <c r="A72" s="25" t="s">
        <v>220</v>
      </c>
      <c r="B72" s="89">
        <f>(' Pivot Table for Data Exchange'!$D$7)*100</f>
        <v>98.581958019548154</v>
      </c>
      <c r="C72" s="89">
        <f>(' Pivot Table for Data Exchange'!$D$10)*100</f>
        <v>0</v>
      </c>
      <c r="D72" s="83">
        <f>SUM(E72:G72)</f>
        <v>1.4180419804518507</v>
      </c>
      <c r="E72" s="89">
        <f>(' Pivot Table for Data Exchange'!$D$13)*100</f>
        <v>1.4180419804518507</v>
      </c>
      <c r="F72" s="89">
        <f>(' Pivot Table for Data Exchange'!$D$16)*100</f>
        <v>0</v>
      </c>
      <c r="G72" s="90">
        <f>(' Pivot Table for Data Exchange'!$D$19)*100</f>
        <v>0</v>
      </c>
      <c r="H72" s="89">
        <f>(' Pivot Table for Data Exchange'!$D$22)*100</f>
        <v>0</v>
      </c>
      <c r="I72" s="25" t="s">
        <v>220</v>
      </c>
      <c r="J72" s="89">
        <f>(' Pivot Table for Data Exchange'!$D$25)*100</f>
        <v>87.569424832909732</v>
      </c>
      <c r="K72" s="89">
        <f>(' Pivot Table for Data Exchange'!$D$28)*100</f>
        <v>0</v>
      </c>
      <c r="L72" s="83">
        <f>SUM(M72:O72)</f>
        <v>12.430575167090275</v>
      </c>
      <c r="M72" s="89">
        <f>(' Pivot Table for Data Exchange'!$D$31)*100</f>
        <v>12.359973642097335</v>
      </c>
      <c r="N72" s="89">
        <f>(' Pivot Table for Data Exchange'!$D$34)*100</f>
        <v>0</v>
      </c>
      <c r="O72" s="90">
        <f>(' Pivot Table for Data Exchange'!$D$37)*100</f>
        <v>7.0601524992939854E-2</v>
      </c>
      <c r="P72" s="89">
        <f>(' Pivot Table for Data Exchange'!$D$40)*100</f>
        <v>0</v>
      </c>
      <c r="Q72" s="23">
        <f t="shared" si="7"/>
        <v>100</v>
      </c>
      <c r="R72" s="23">
        <f t="shared" si="3"/>
        <v>100</v>
      </c>
      <c r="S72" s="31"/>
      <c r="T72" s="31"/>
      <c r="U72" s="31"/>
      <c r="V72" s="31"/>
      <c r="W72" s="31"/>
      <c r="X72" s="31"/>
      <c r="Y72" s="31"/>
      <c r="Z72" s="31"/>
      <c r="AA72" s="31"/>
      <c r="AB72" s="31"/>
      <c r="AC72" s="31"/>
      <c r="AD72" s="31"/>
      <c r="AE72" s="31"/>
      <c r="AF72" s="31"/>
      <c r="AG72" s="31"/>
      <c r="AH72" s="31"/>
      <c r="AI72" s="31"/>
      <c r="AJ72" s="31"/>
      <c r="AK72" s="31"/>
      <c r="AL72" s="31"/>
      <c r="AM72" s="31"/>
      <c r="AN72" s="31"/>
      <c r="AO72" s="31"/>
    </row>
    <row r="73" spans="1:41" ht="15.75" customHeight="1">
      <c r="A73" s="24" t="s">
        <v>221</v>
      </c>
      <c r="B73" s="89">
        <f>(' Pivot Table for Data Exchange'!$D$43)*100</f>
        <v>0</v>
      </c>
      <c r="C73" s="89">
        <f>(' Pivot Table for Data Exchange'!$D$46)*100</f>
        <v>0</v>
      </c>
      <c r="D73" s="83">
        <f>SUM(E73:G73)</f>
        <v>0</v>
      </c>
      <c r="E73" s="89">
        <f>(' Pivot Table for Data Exchange'!$D$49)*100</f>
        <v>0</v>
      </c>
      <c r="F73" s="89">
        <f>(' Pivot Table for Data Exchange'!$D$52)*100</f>
        <v>0</v>
      </c>
      <c r="G73" s="91">
        <f>(' Pivot Table for Data Exchange'!$D$55)*100</f>
        <v>0</v>
      </c>
      <c r="H73" s="89">
        <f>(' Pivot Table for Data Exchange'!$D$58)*100</f>
        <v>0</v>
      </c>
      <c r="I73" s="24" t="s">
        <v>221</v>
      </c>
      <c r="J73" s="89">
        <f>(' Pivot Table for Data Exchange'!$D$61)*100</f>
        <v>0</v>
      </c>
      <c r="K73" s="89">
        <f>(' Pivot Table for Data Exchange'!$D$64)*100</f>
        <v>0</v>
      </c>
      <c r="L73" s="83">
        <f>SUM(M73:O73)</f>
        <v>0</v>
      </c>
      <c r="M73" s="89">
        <f>(' Pivot Table for Data Exchange'!$D$67)*100</f>
        <v>0</v>
      </c>
      <c r="N73" s="89">
        <f>(' Pivot Table for Data Exchange'!$D$70)*100</f>
        <v>0</v>
      </c>
      <c r="O73" s="91">
        <f>(' Pivot Table for Data Exchange'!$D$73)*100</f>
        <v>0</v>
      </c>
      <c r="P73" s="89">
        <f>(' Pivot Table for Data Exchange'!$D$76)*100</f>
        <v>0</v>
      </c>
      <c r="Q73" s="23">
        <f t="shared" si="7"/>
        <v>0</v>
      </c>
      <c r="R73" s="23">
        <f t="shared" si="3"/>
        <v>0</v>
      </c>
      <c r="S73" s="31"/>
      <c r="T73" s="31"/>
      <c r="U73" s="31"/>
      <c r="V73" s="31"/>
      <c r="W73" s="31"/>
      <c r="X73" s="31"/>
      <c r="Y73" s="31"/>
      <c r="Z73" s="31"/>
      <c r="AA73" s="31"/>
      <c r="AB73" s="31"/>
      <c r="AC73" s="31"/>
      <c r="AD73" s="31"/>
      <c r="AE73" s="31"/>
      <c r="AF73" s="31"/>
      <c r="AG73" s="31"/>
      <c r="AH73" s="31"/>
      <c r="AI73" s="31"/>
      <c r="AJ73" s="31"/>
      <c r="AK73" s="31"/>
      <c r="AL73" s="31"/>
      <c r="AM73" s="31"/>
      <c r="AN73" s="31"/>
      <c r="AO73" s="31"/>
    </row>
    <row r="74" spans="1:41" ht="15.75" customHeight="1">
      <c r="A74" s="24" t="s">
        <v>222</v>
      </c>
      <c r="B74" s="89">
        <f>(' Pivot Table for Data Exchange'!$D$79)*100</f>
        <v>0</v>
      </c>
      <c r="C74" s="89">
        <f>(' Pivot Table for Data Exchange'!$D$82)*100</f>
        <v>0</v>
      </c>
      <c r="D74" s="83">
        <f>SUM(E74:G74)</f>
        <v>0</v>
      </c>
      <c r="E74" s="89">
        <f>(' Pivot Table for Data Exchange'!$D$85)*100</f>
        <v>0</v>
      </c>
      <c r="F74" s="89">
        <f>(' Pivot Table for Data Exchange'!$D$88)*100</f>
        <v>0</v>
      </c>
      <c r="G74" s="91">
        <f>(' Pivot Table for Data Exchange'!$D$91)*100</f>
        <v>0</v>
      </c>
      <c r="H74" s="89">
        <f>(' Pivot Table for Data Exchange'!$D$94)*100</f>
        <v>0</v>
      </c>
      <c r="I74" s="24" t="s">
        <v>222</v>
      </c>
      <c r="J74" s="89">
        <f>(' Pivot Table for Data Exchange'!$D$97)*100</f>
        <v>0</v>
      </c>
      <c r="K74" s="89">
        <f>(' Pivot Table for Data Exchange'!$D$100)*100</f>
        <v>0</v>
      </c>
      <c r="L74" s="83">
        <f>SUM(M74:O74)</f>
        <v>0</v>
      </c>
      <c r="M74" s="89">
        <f>(' Pivot Table for Data Exchange'!$D$103)*100</f>
        <v>0</v>
      </c>
      <c r="N74" s="89">
        <f>(' Pivot Table for Data Exchange'!$D$106)*100</f>
        <v>0</v>
      </c>
      <c r="O74" s="91">
        <f>(' Pivot Table for Data Exchange'!$D$109)*100</f>
        <v>0</v>
      </c>
      <c r="P74" s="89">
        <f>(' Pivot Table for Data Exchange'!$D$112)*100</f>
        <v>0</v>
      </c>
      <c r="Q74" s="23">
        <f t="shared" si="7"/>
        <v>0</v>
      </c>
      <c r="R74" s="23">
        <f t="shared" si="3"/>
        <v>0</v>
      </c>
      <c r="S74" s="31"/>
      <c r="T74" s="40"/>
      <c r="U74" s="31"/>
      <c r="V74" s="31"/>
      <c r="W74" s="31"/>
      <c r="X74" s="31"/>
      <c r="Y74" s="31"/>
      <c r="Z74" s="31"/>
      <c r="AA74" s="31"/>
      <c r="AB74" s="31"/>
      <c r="AC74" s="31"/>
      <c r="AD74" s="31"/>
      <c r="AE74" s="31"/>
      <c r="AF74" s="31"/>
      <c r="AG74" s="31"/>
      <c r="AH74" s="31"/>
      <c r="AI74" s="31"/>
      <c r="AJ74" s="31"/>
      <c r="AK74" s="31"/>
      <c r="AL74" s="31"/>
      <c r="AM74" s="31"/>
      <c r="AN74" s="31"/>
      <c r="AO74" s="31"/>
    </row>
    <row r="75" spans="1:41" ht="15.75" customHeight="1">
      <c r="A75" s="24" t="s">
        <v>111</v>
      </c>
      <c r="B75" s="89">
        <f>(' Pivot Table for Data Exchange'!$D$115)*100</f>
        <v>67.884466910647205</v>
      </c>
      <c r="C75" s="89">
        <f>(' Pivot Table for Data Exchange'!$D$118)*100</f>
        <v>18.819759383320971</v>
      </c>
      <c r="D75" s="83">
        <f>SUM(E75:G75)</f>
        <v>13.295773706031831</v>
      </c>
      <c r="E75" s="89">
        <f>(' Pivot Table for Data Exchange'!$D$121)*100</f>
        <v>12.533663841842255</v>
      </c>
      <c r="F75" s="89">
        <f>(' Pivot Table for Data Exchange'!$D$124)*100</f>
        <v>0.68885491264119059</v>
      </c>
      <c r="G75" s="91">
        <f>(' Pivot Table for Data Exchange'!$D$127)*100</f>
        <v>7.3254951548384739E-2</v>
      </c>
      <c r="H75" s="89">
        <f>(' Pivot Table for Data Exchange'!$D$130)*100</f>
        <v>0</v>
      </c>
      <c r="I75" s="24" t="s">
        <v>111</v>
      </c>
      <c r="J75" s="89">
        <f>(' Pivot Table for Data Exchange'!$D$133)*100</f>
        <v>71.898697359400003</v>
      </c>
      <c r="K75" s="89">
        <f>(' Pivot Table for Data Exchange'!$D$136)*100</f>
        <v>16.799804707788834</v>
      </c>
      <c r="L75" s="83">
        <f>SUM(M75:O75)</f>
        <v>11.301497932811168</v>
      </c>
      <c r="M75" s="89">
        <f>(' Pivot Table for Data Exchange'!$D$139)*100</f>
        <v>9.61814139987119</v>
      </c>
      <c r="N75" s="89">
        <f>(' Pivot Table for Data Exchange'!$D$142)*100</f>
        <v>0.77026156690835801</v>
      </c>
      <c r="O75" s="91">
        <f>(' Pivot Table for Data Exchange'!$D$145)*100</f>
        <v>0.91309496603162077</v>
      </c>
      <c r="P75" s="89">
        <f>(' Pivot Table for Data Exchange'!$D$148)*100</f>
        <v>0</v>
      </c>
      <c r="Q75" s="23">
        <f t="shared" ref="Q75:Q138" si="22">SUM(B75,C75,D75,H75)</f>
        <v>100</v>
      </c>
      <c r="R75" s="23">
        <f t="shared" ref="R75:R138" si="23">SUM(J75,K75,L75,P75)</f>
        <v>100.00000000000001</v>
      </c>
      <c r="S75" s="31"/>
      <c r="U75" s="31"/>
      <c r="V75" s="31"/>
      <c r="W75" s="31"/>
      <c r="X75" s="31"/>
      <c r="Y75" s="31"/>
      <c r="Z75" s="31"/>
      <c r="AA75" s="31"/>
      <c r="AB75" s="31"/>
      <c r="AC75" s="31"/>
      <c r="AD75" s="31"/>
      <c r="AE75" s="31"/>
      <c r="AF75" s="31"/>
      <c r="AG75" s="31"/>
      <c r="AH75" s="31"/>
      <c r="AI75" s="31"/>
      <c r="AJ75" s="31"/>
      <c r="AK75" s="31"/>
      <c r="AL75" s="31"/>
      <c r="AM75" s="31"/>
      <c r="AN75" s="31"/>
      <c r="AO75" s="31"/>
    </row>
    <row r="76" spans="1:41" ht="9" customHeight="1">
      <c r="A76" s="24"/>
      <c r="B76" s="89"/>
      <c r="C76" s="89"/>
      <c r="D76" s="83"/>
      <c r="E76" s="89"/>
      <c r="F76" s="89"/>
      <c r="G76" s="91"/>
      <c r="H76" s="89"/>
      <c r="I76" s="24"/>
      <c r="J76" s="89"/>
      <c r="K76" s="89"/>
      <c r="L76" s="83"/>
      <c r="M76" s="89"/>
      <c r="N76" s="89"/>
      <c r="O76" s="91"/>
      <c r="P76" s="89"/>
      <c r="Q76" s="23">
        <f t="shared" si="22"/>
        <v>0</v>
      </c>
      <c r="R76" s="23">
        <f t="shared" si="23"/>
        <v>0</v>
      </c>
      <c r="S76" s="31"/>
      <c r="U76" s="31"/>
      <c r="V76" s="31"/>
      <c r="W76" s="31"/>
      <c r="X76" s="31"/>
      <c r="Y76" s="31"/>
      <c r="Z76" s="31"/>
      <c r="AA76" s="31"/>
      <c r="AB76" s="31"/>
      <c r="AC76" s="31"/>
      <c r="AD76" s="31"/>
      <c r="AE76" s="31"/>
      <c r="AF76" s="31"/>
      <c r="AG76" s="31"/>
      <c r="AH76" s="31"/>
      <c r="AI76" s="31"/>
      <c r="AJ76" s="31"/>
      <c r="AK76" s="31"/>
      <c r="AL76" s="31"/>
      <c r="AM76" s="31"/>
      <c r="AN76" s="31"/>
      <c r="AO76" s="31"/>
    </row>
    <row r="77" spans="1:41" ht="15.75" customHeight="1">
      <c r="A77" s="24" t="s">
        <v>224</v>
      </c>
      <c r="B77" s="89">
        <f>(' Pivot Table for Data Exchange'!$D$151)*100</f>
        <v>96.333033153398887</v>
      </c>
      <c r="C77" s="89">
        <f>(' Pivot Table for Data Exchange'!$D$154)*100</f>
        <v>2.3200612158848974</v>
      </c>
      <c r="D77" s="83">
        <f>SUM(E77:G77)</f>
        <v>1.3469056307162155</v>
      </c>
      <c r="E77" s="89">
        <f>(' Pivot Table for Data Exchange'!$D$157)*100</f>
        <v>0.79304762450092914</v>
      </c>
      <c r="F77" s="89">
        <f>(' Pivot Table for Data Exchange'!$D$160)*100</f>
        <v>0.51794052272952051</v>
      </c>
      <c r="G77" s="159">
        <f>(' Pivot Table for Data Exchange'!$D$163)*100</f>
        <v>3.591748348576574E-2</v>
      </c>
      <c r="H77" s="89">
        <f>(' Pivot Table for Data Exchange'!$D$166)*100</f>
        <v>0</v>
      </c>
      <c r="I77" s="24" t="s">
        <v>224</v>
      </c>
      <c r="J77" s="89">
        <f>(' Pivot Table for Data Exchange'!$D$169)*100</f>
        <v>95.992980941050007</v>
      </c>
      <c r="K77" s="89">
        <f>(' Pivot Table for Data Exchange'!$D$172)*100</f>
        <v>2.3505578957522753</v>
      </c>
      <c r="L77" s="83">
        <f>SUM(M77:O77)</f>
        <v>1.6564611631977142</v>
      </c>
      <c r="M77" s="89">
        <f>(' Pivot Table for Data Exchange'!$D$175)*100</f>
        <v>1.2320102162219273</v>
      </c>
      <c r="N77" s="89">
        <f>(' Pivot Table for Data Exchange'!$D$178)*100</f>
        <v>0.40929198458379462</v>
      </c>
      <c r="O77" s="159">
        <f>(' Pivot Table for Data Exchange'!$D$181)*100</f>
        <v>1.5158962391992393E-2</v>
      </c>
      <c r="P77" s="89">
        <f>(' Pivot Table for Data Exchange'!$D$184)*100</f>
        <v>0</v>
      </c>
      <c r="Q77" s="23">
        <f t="shared" si="22"/>
        <v>100</v>
      </c>
      <c r="R77" s="23">
        <f t="shared" si="23"/>
        <v>100</v>
      </c>
      <c r="S77" s="31"/>
      <c r="T77" s="31"/>
      <c r="U77" s="31"/>
      <c r="V77" s="31"/>
      <c r="W77" s="31"/>
      <c r="X77" s="31"/>
      <c r="Y77" s="31"/>
      <c r="Z77" s="31"/>
      <c r="AA77" s="31"/>
      <c r="AB77" s="31"/>
      <c r="AC77" s="31"/>
      <c r="AD77" s="31"/>
      <c r="AE77" s="31"/>
      <c r="AF77" s="31"/>
      <c r="AG77" s="31"/>
      <c r="AH77" s="31"/>
      <c r="AI77" s="31"/>
      <c r="AJ77" s="31"/>
      <c r="AK77" s="31"/>
      <c r="AL77" s="31"/>
      <c r="AM77" s="31"/>
      <c r="AN77" s="31"/>
      <c r="AO77" s="31"/>
    </row>
    <row r="78" spans="1:41" ht="15.75" customHeight="1">
      <c r="A78" s="24" t="s">
        <v>225</v>
      </c>
      <c r="B78" s="89">
        <f>(' Pivot Table for Data Exchange'!$D$187)*100</f>
        <v>0</v>
      </c>
      <c r="C78" s="89">
        <f>(' Pivot Table for Data Exchange'!$D$190)*100</f>
        <v>0</v>
      </c>
      <c r="D78" s="83">
        <f>SUM(E78:G78)</f>
        <v>0</v>
      </c>
      <c r="E78" s="89">
        <f>(' Pivot Table for Data Exchange'!$D$193)*100</f>
        <v>0</v>
      </c>
      <c r="F78" s="89">
        <f>(' Pivot Table for Data Exchange'!$D$196)*100</f>
        <v>0</v>
      </c>
      <c r="G78" s="91">
        <f>(' Pivot Table for Data Exchange'!$D$199)*100</f>
        <v>0</v>
      </c>
      <c r="H78" s="89">
        <f>(' Pivot Table for Data Exchange'!$D$202)*100</f>
        <v>0</v>
      </c>
      <c r="I78" s="24" t="s">
        <v>225</v>
      </c>
      <c r="J78" s="89">
        <f>(' Pivot Table for Data Exchange'!$D$205)*100</f>
        <v>0</v>
      </c>
      <c r="K78" s="89">
        <f>(' Pivot Table for Data Exchange'!$D$208)*100</f>
        <v>0</v>
      </c>
      <c r="L78" s="83">
        <f>SUM(M78:O78)</f>
        <v>0</v>
      </c>
      <c r="M78" s="89">
        <f>(' Pivot Table for Data Exchange'!$D$211)*100</f>
        <v>0</v>
      </c>
      <c r="N78" s="89">
        <f>(' Pivot Table for Data Exchange'!$D$214)*100</f>
        <v>0</v>
      </c>
      <c r="O78" s="159">
        <f>(' Pivot Table for Data Exchange'!$D$217)*100</f>
        <v>0</v>
      </c>
      <c r="P78" s="89">
        <f>(' Pivot Table for Data Exchange'!$D$220)*100</f>
        <v>0</v>
      </c>
      <c r="Q78" s="23">
        <f t="shared" si="22"/>
        <v>0</v>
      </c>
      <c r="R78" s="23">
        <f t="shared" si="23"/>
        <v>0</v>
      </c>
      <c r="S78" s="31"/>
      <c r="T78" s="31"/>
      <c r="U78" s="31"/>
      <c r="V78" s="31"/>
      <c r="W78" s="31"/>
      <c r="X78" s="31"/>
      <c r="Y78" s="31"/>
      <c r="Z78" s="31"/>
      <c r="AA78" s="31"/>
      <c r="AB78" s="31"/>
      <c r="AC78" s="31"/>
      <c r="AD78" s="31"/>
      <c r="AE78" s="31"/>
      <c r="AF78" s="31"/>
      <c r="AG78" s="31"/>
      <c r="AH78" s="31"/>
      <c r="AI78" s="31"/>
      <c r="AJ78" s="31"/>
      <c r="AK78" s="31"/>
      <c r="AL78" s="31"/>
      <c r="AM78" s="31"/>
      <c r="AN78" s="31"/>
      <c r="AO78" s="31"/>
    </row>
    <row r="79" spans="1:41" ht="15.75" customHeight="1">
      <c r="A79" s="24" t="s">
        <v>226</v>
      </c>
      <c r="B79" s="89">
        <f>(' Pivot Table for Data Exchange'!$D$223)*100</f>
        <v>98.539933893333526</v>
      </c>
      <c r="C79" s="89">
        <f>(' Pivot Table for Data Exchange'!$D$226)*100</f>
        <v>0</v>
      </c>
      <c r="D79" s="83">
        <f>SUM(E79:G79)</f>
        <v>1.4600661066664828</v>
      </c>
      <c r="E79" s="89">
        <f>(' Pivot Table for Data Exchange'!$D$229)*100</f>
        <v>1.4486961275458989</v>
      </c>
      <c r="F79" s="156">
        <f>(' Pivot Table for Data Exchange'!$D$232)*100</f>
        <v>1.1369979120583797E-2</v>
      </c>
      <c r="G79" s="159">
        <f>(' Pivot Table for Data Exchange'!$D$235)*100</f>
        <v>0</v>
      </c>
      <c r="H79" s="89">
        <f>(' Pivot Table for Data Exchange'!$D$238)*100</f>
        <v>0</v>
      </c>
      <c r="I79" s="24" t="s">
        <v>226</v>
      </c>
      <c r="J79" s="89">
        <f>(' Pivot Table for Data Exchange'!$D$241)*100</f>
        <v>98.679025744820237</v>
      </c>
      <c r="K79" s="89">
        <f>(' Pivot Table for Data Exchange'!$D$244)*100</f>
        <v>0</v>
      </c>
      <c r="L79" s="83">
        <f>SUM(M79:O79)</f>
        <v>1.3209742551797639</v>
      </c>
      <c r="M79" s="89">
        <f>(' Pivot Table for Data Exchange'!$D$247)*100</f>
        <v>0.96897519384392761</v>
      </c>
      <c r="N79" s="89">
        <f>(' Pivot Table for Data Exchange'!$D$250)*100</f>
        <v>0.32853245724678065</v>
      </c>
      <c r="O79" s="159">
        <f>(' Pivot Table for Data Exchange'!$D$253)*100</f>
        <v>2.3466604089055761E-2</v>
      </c>
      <c r="P79" s="89">
        <f>(' Pivot Table for Data Exchange'!$D$256)*100</f>
        <v>0</v>
      </c>
      <c r="Q79" s="23">
        <f t="shared" si="22"/>
        <v>100.00000000000001</v>
      </c>
      <c r="R79" s="23">
        <f t="shared" si="23"/>
        <v>100</v>
      </c>
      <c r="S79" s="31"/>
      <c r="T79" s="40"/>
      <c r="U79" s="31"/>
      <c r="V79" s="31"/>
      <c r="W79" s="31"/>
      <c r="X79" s="31"/>
      <c r="Y79" s="31"/>
      <c r="Z79" s="31"/>
      <c r="AA79" s="31"/>
      <c r="AB79" s="31"/>
      <c r="AC79" s="31"/>
      <c r="AD79" s="31"/>
      <c r="AE79" s="31"/>
      <c r="AF79" s="31"/>
      <c r="AG79" s="31"/>
      <c r="AH79" s="31"/>
      <c r="AI79" s="31"/>
      <c r="AJ79" s="31"/>
      <c r="AK79" s="31"/>
      <c r="AL79" s="31"/>
      <c r="AM79" s="31"/>
      <c r="AN79" s="31"/>
      <c r="AO79" s="31"/>
    </row>
    <row r="80" spans="1:41" ht="15.75" customHeight="1">
      <c r="A80" s="24" t="s">
        <v>227</v>
      </c>
      <c r="B80" s="89">
        <f>(' Pivot Table for Data Exchange'!$D$259)*100</f>
        <v>97.774475420555191</v>
      </c>
      <c r="C80" s="89">
        <f>(' Pivot Table for Data Exchange'!$D$262)*100</f>
        <v>1.8538112504705859</v>
      </c>
      <c r="D80" s="83">
        <f>SUM(E80:G80)</f>
        <v>0.37171332897422182</v>
      </c>
      <c r="E80" s="89">
        <f>(' Pivot Table for Data Exchange'!$D$265)*100</f>
        <v>0.37171332897422182</v>
      </c>
      <c r="F80" s="89">
        <f>(' Pivot Table for Data Exchange'!$D$268)*100</f>
        <v>0</v>
      </c>
      <c r="G80" s="91">
        <f>(' Pivot Table for Data Exchange'!$D$271)*100</f>
        <v>0</v>
      </c>
      <c r="H80" s="89">
        <f>(' Pivot Table for Data Exchange'!$D$274)*100</f>
        <v>0</v>
      </c>
      <c r="I80" s="24" t="s">
        <v>227</v>
      </c>
      <c r="J80" s="89">
        <f>(' Pivot Table for Data Exchange'!$D$277)*100</f>
        <v>73.756371251333519</v>
      </c>
      <c r="K80" s="89">
        <f>(' Pivot Table for Data Exchange'!$D$280)*100</f>
        <v>12.481725868268205</v>
      </c>
      <c r="L80" s="83">
        <f>SUM(M80:O80)</f>
        <v>13.761902880398278</v>
      </c>
      <c r="M80" s="89">
        <f>(' Pivot Table for Data Exchange'!$D$283)*100</f>
        <v>13.761902880398278</v>
      </c>
      <c r="N80" s="89">
        <f>(' Pivot Table for Data Exchange'!$D$286)*100</f>
        <v>0</v>
      </c>
      <c r="O80" s="91">
        <f>(' Pivot Table for Data Exchange'!$D$289)*100</f>
        <v>0</v>
      </c>
      <c r="P80" s="89">
        <f>(' Pivot Table for Data Exchange'!$D$292)*100</f>
        <v>0</v>
      </c>
      <c r="Q80" s="23">
        <f t="shared" si="22"/>
        <v>100</v>
      </c>
      <c r="R80" s="23">
        <f t="shared" si="23"/>
        <v>100</v>
      </c>
      <c r="S80" s="31"/>
      <c r="U80" s="31"/>
      <c r="V80" s="31"/>
      <c r="W80" s="31"/>
      <c r="X80" s="31"/>
      <c r="Y80" s="31"/>
      <c r="Z80" s="31"/>
      <c r="AA80" s="31"/>
      <c r="AB80" s="31"/>
      <c r="AC80" s="31"/>
      <c r="AD80" s="31"/>
      <c r="AE80" s="31"/>
      <c r="AF80" s="31"/>
      <c r="AG80" s="31"/>
      <c r="AH80" s="31"/>
      <c r="AI80" s="31"/>
      <c r="AJ80" s="31"/>
      <c r="AK80" s="31"/>
      <c r="AL80" s="31"/>
      <c r="AM80" s="31"/>
      <c r="AN80" s="31"/>
      <c r="AO80" s="31"/>
    </row>
    <row r="81" spans="1:41" ht="8.25" customHeight="1">
      <c r="A81" s="24"/>
      <c r="B81" s="89"/>
      <c r="C81" s="89"/>
      <c r="D81" s="83"/>
      <c r="E81" s="89"/>
      <c r="F81" s="89"/>
      <c r="G81" s="91"/>
      <c r="H81" s="89"/>
      <c r="I81" s="24"/>
      <c r="J81" s="89"/>
      <c r="K81" s="89"/>
      <c r="L81" s="83"/>
      <c r="M81" s="89"/>
      <c r="N81" s="89"/>
      <c r="O81" s="91"/>
      <c r="P81" s="89"/>
      <c r="Q81" s="23">
        <f t="shared" si="22"/>
        <v>0</v>
      </c>
      <c r="R81" s="23">
        <f t="shared" si="23"/>
        <v>0</v>
      </c>
      <c r="S81" s="31"/>
      <c r="U81" s="31"/>
      <c r="V81" s="31"/>
      <c r="W81" s="31"/>
      <c r="X81" s="31"/>
      <c r="Y81" s="31"/>
      <c r="Z81" s="31"/>
      <c r="AA81" s="31"/>
      <c r="AB81" s="31"/>
      <c r="AC81" s="31"/>
      <c r="AD81" s="31"/>
      <c r="AE81" s="31"/>
      <c r="AF81" s="31"/>
      <c r="AG81" s="31"/>
      <c r="AH81" s="31"/>
      <c r="AI81" s="31"/>
      <c r="AJ81" s="31"/>
      <c r="AK81" s="31"/>
      <c r="AL81" s="31"/>
      <c r="AM81" s="31"/>
      <c r="AN81" s="31"/>
      <c r="AO81" s="31"/>
    </row>
    <row r="82" spans="1:41" ht="15.75" customHeight="1">
      <c r="A82" s="24" t="s">
        <v>204</v>
      </c>
      <c r="B82" s="89">
        <f>(' Pivot Table for Data Exchange'!$D$295)*100</f>
        <v>90.428698478959291</v>
      </c>
      <c r="C82" s="89">
        <f>(' Pivot Table for Data Exchange'!$D$298)*100</f>
        <v>5.6402482570019865</v>
      </c>
      <c r="D82" s="83">
        <f>SUM(E82:G82)</f>
        <v>3.9299106267175272</v>
      </c>
      <c r="E82" s="89">
        <f>(' Pivot Table for Data Exchange'!$D$301)*100</f>
        <v>2.2024334366150513</v>
      </c>
      <c r="F82" s="89">
        <f>(' Pivot Table for Data Exchange'!$D$304)*100</f>
        <v>1.7274771901024757</v>
      </c>
      <c r="G82" s="91">
        <f>(' Pivot Table for Data Exchange'!$D$307)*100</f>
        <v>0</v>
      </c>
      <c r="H82" s="158">
        <f>(' Pivot Table for Data Exchange'!$D$310)*100</f>
        <v>1.1426373212010642E-3</v>
      </c>
      <c r="I82" s="24" t="s">
        <v>204</v>
      </c>
      <c r="J82" s="89">
        <f>(' Pivot Table for Data Exchange'!$D$313)*100</f>
        <v>85.268443042394608</v>
      </c>
      <c r="K82" s="89">
        <f>(' Pivot Table for Data Exchange'!$D$316)*100</f>
        <v>10.946022419418926</v>
      </c>
      <c r="L82" s="83">
        <f>SUM(M82:O82)</f>
        <v>3.7855345381864591</v>
      </c>
      <c r="M82" s="89">
        <f>(' Pivot Table for Data Exchange'!$D$319)*100</f>
        <v>3.1497959134528553</v>
      </c>
      <c r="N82" s="89">
        <f>(' Pivot Table for Data Exchange'!$D$322)*100</f>
        <v>0.63573862473360387</v>
      </c>
      <c r="O82" s="159">
        <f>(' Pivot Table for Data Exchange'!$D$325)*100</f>
        <v>0</v>
      </c>
      <c r="P82" s="156">
        <f>(' Pivot Table for Data Exchange'!$D$328)*100</f>
        <v>0</v>
      </c>
      <c r="Q82" s="23">
        <f t="shared" si="22"/>
        <v>100</v>
      </c>
      <c r="R82" s="23">
        <f t="shared" si="23"/>
        <v>99.999999999999986</v>
      </c>
      <c r="S82" s="31"/>
      <c r="T82" s="31"/>
      <c r="U82" s="31"/>
      <c r="V82" s="31"/>
      <c r="W82" s="31"/>
      <c r="X82" s="31"/>
      <c r="Y82" s="31"/>
      <c r="Z82" s="31"/>
      <c r="AA82" s="31"/>
      <c r="AB82" s="31"/>
      <c r="AC82" s="31"/>
      <c r="AD82" s="31"/>
      <c r="AE82" s="31"/>
      <c r="AF82" s="31"/>
      <c r="AG82" s="31"/>
      <c r="AH82" s="31"/>
      <c r="AI82" s="31"/>
      <c r="AJ82" s="31"/>
      <c r="AK82" s="31"/>
      <c r="AL82" s="31"/>
      <c r="AM82" s="31"/>
      <c r="AN82" s="31"/>
      <c r="AO82" s="31"/>
    </row>
    <row r="83" spans="1:41" ht="15.75" customHeight="1">
      <c r="A83" s="24" t="s">
        <v>212</v>
      </c>
      <c r="B83" s="89">
        <f>(' Pivot Table for Data Exchange'!$D$331)*100</f>
        <v>93.349694848029714</v>
      </c>
      <c r="C83" s="89">
        <f>(' Pivot Table for Data Exchange'!$D$334)*100</f>
        <v>1.6194758856473697</v>
      </c>
      <c r="D83" s="83">
        <f>SUM(E83:G83)</f>
        <v>5.0308292663229102</v>
      </c>
      <c r="E83" s="89">
        <f>(' Pivot Table for Data Exchange'!$D$337)*100</f>
        <v>5.0119851086287168</v>
      </c>
      <c r="F83" s="156">
        <f>(' Pivot Table for Data Exchange'!$D$340)*100</f>
        <v>1.8844157694192971E-2</v>
      </c>
      <c r="G83" s="91">
        <f>(' Pivot Table for Data Exchange'!$D$343)*100</f>
        <v>0</v>
      </c>
      <c r="H83" s="89">
        <f>(' Pivot Table for Data Exchange'!$D$346)*100</f>
        <v>0</v>
      </c>
      <c r="I83" s="24" t="s">
        <v>212</v>
      </c>
      <c r="J83" s="89">
        <f>(' Pivot Table for Data Exchange'!$D$349)*100</f>
        <v>83.556562202815215</v>
      </c>
      <c r="K83" s="89">
        <f>(' Pivot Table for Data Exchange'!$D$352)*100</f>
        <v>7.9077465862316787</v>
      </c>
      <c r="L83" s="83">
        <f>SUM(M83:O83)</f>
        <v>8.5356912109530949</v>
      </c>
      <c r="M83" s="89">
        <f>(' Pivot Table for Data Exchange'!$D$355)*100</f>
        <v>8.3875979121748649</v>
      </c>
      <c r="N83" s="89">
        <f>(' Pivot Table for Data Exchange'!$D$358)*100</f>
        <v>0.1480932987782303</v>
      </c>
      <c r="O83" s="159">
        <f>(' Pivot Table for Data Exchange'!$D$361)*100</f>
        <v>0</v>
      </c>
      <c r="P83" s="89">
        <f>(' Pivot Table for Data Exchange'!$D$364)*100</f>
        <v>0</v>
      </c>
      <c r="Q83" s="23">
        <f t="shared" si="22"/>
        <v>100</v>
      </c>
      <c r="R83" s="23">
        <f t="shared" si="23"/>
        <v>99.999999999999986</v>
      </c>
      <c r="S83" s="31"/>
      <c r="T83" s="31"/>
      <c r="U83" s="31"/>
      <c r="V83" s="31"/>
      <c r="W83" s="31"/>
      <c r="X83" s="31"/>
      <c r="Y83" s="31"/>
      <c r="Z83" s="31"/>
      <c r="AA83" s="31"/>
      <c r="AB83" s="31"/>
      <c r="AC83" s="31"/>
      <c r="AD83" s="31"/>
      <c r="AE83" s="31"/>
      <c r="AF83" s="31"/>
      <c r="AG83" s="31"/>
      <c r="AH83" s="31"/>
      <c r="AI83" s="31"/>
      <c r="AJ83" s="31"/>
      <c r="AK83" s="31"/>
      <c r="AL83" s="31"/>
      <c r="AM83" s="31"/>
      <c r="AN83" s="31"/>
      <c r="AO83" s="31"/>
    </row>
    <row r="84" spans="1:41" ht="15.75" customHeight="1">
      <c r="A84" s="24" t="s">
        <v>205</v>
      </c>
      <c r="B84" s="89">
        <f>(' Pivot Table for Data Exchange'!$D$367)*100</f>
        <v>0</v>
      </c>
      <c r="C84" s="89">
        <f>(' Pivot Table for Data Exchange'!$D$370)*100</f>
        <v>0</v>
      </c>
      <c r="D84" s="83">
        <f>SUM(E84:G84)</f>
        <v>0</v>
      </c>
      <c r="E84" s="89">
        <f>(' Pivot Table for Data Exchange'!$D$373)*100</f>
        <v>0</v>
      </c>
      <c r="F84" s="89">
        <f>(' Pivot Table for Data Exchange'!$D$376)*100</f>
        <v>0</v>
      </c>
      <c r="G84" s="91">
        <f>(' Pivot Table for Data Exchange'!$D$379)*100</f>
        <v>0</v>
      </c>
      <c r="H84" s="89">
        <f>(' Pivot Table for Data Exchange'!$D$382)*100</f>
        <v>0</v>
      </c>
      <c r="I84" s="24" t="s">
        <v>205</v>
      </c>
      <c r="J84" s="89">
        <f>(' Pivot Table for Data Exchange'!$D$385)*100</f>
        <v>0</v>
      </c>
      <c r="K84" s="89">
        <f>(' Pivot Table for Data Exchange'!$D$388)*100</f>
        <v>0</v>
      </c>
      <c r="L84" s="83">
        <f>SUM(M84:O84)</f>
        <v>0</v>
      </c>
      <c r="M84" s="89">
        <f>(' Pivot Table for Data Exchange'!$D$391)*100</f>
        <v>0</v>
      </c>
      <c r="N84" s="89">
        <f>(' Pivot Table for Data Exchange'!$D$394)*100</f>
        <v>0</v>
      </c>
      <c r="O84" s="91">
        <f>(' Pivot Table for Data Exchange'!$D$397)*100</f>
        <v>0</v>
      </c>
      <c r="P84" s="89">
        <f>(' Pivot Table for Data Exchange'!$D$400)*100</f>
        <v>0</v>
      </c>
      <c r="Q84" s="23">
        <f t="shared" si="22"/>
        <v>0</v>
      </c>
      <c r="R84" s="23">
        <f t="shared" si="23"/>
        <v>0</v>
      </c>
      <c r="S84" s="31"/>
      <c r="T84" s="40"/>
      <c r="U84" s="31"/>
      <c r="V84" s="31"/>
      <c r="W84" s="31"/>
      <c r="X84" s="31"/>
      <c r="Y84" s="31"/>
      <c r="Z84" s="31"/>
      <c r="AA84" s="31"/>
      <c r="AB84" s="31"/>
      <c r="AC84" s="31"/>
      <c r="AD84" s="31"/>
      <c r="AE84" s="31"/>
      <c r="AF84" s="31"/>
      <c r="AG84" s="31"/>
      <c r="AH84" s="31"/>
      <c r="AI84" s="31"/>
      <c r="AJ84" s="31"/>
      <c r="AK84" s="31"/>
      <c r="AL84" s="31"/>
      <c r="AM84" s="31"/>
      <c r="AN84" s="31"/>
      <c r="AO84" s="31"/>
    </row>
    <row r="85" spans="1:41" ht="15.75" customHeight="1">
      <c r="A85" s="24" t="s">
        <v>228</v>
      </c>
      <c r="B85" s="89">
        <f>(' Pivot Table for Data Exchange'!$D$403)*100</f>
        <v>0</v>
      </c>
      <c r="C85" s="89">
        <f>(' Pivot Table for Data Exchange'!$D$406)*100</f>
        <v>0</v>
      </c>
      <c r="D85" s="83">
        <f>SUM(E85:G85)</f>
        <v>0</v>
      </c>
      <c r="E85" s="89">
        <f>(' Pivot Table for Data Exchange'!$D$409)*100</f>
        <v>0</v>
      </c>
      <c r="F85" s="89">
        <f>(' Pivot Table for Data Exchange'!$D$412)*100</f>
        <v>0</v>
      </c>
      <c r="G85" s="91">
        <f>(' Pivot Table for Data Exchange'!$D$415)*100</f>
        <v>0</v>
      </c>
      <c r="H85" s="89">
        <f>(' Pivot Table for Data Exchange'!$D$418)*100</f>
        <v>0</v>
      </c>
      <c r="I85" s="24" t="s">
        <v>228</v>
      </c>
      <c r="J85" s="89">
        <f>(' Pivot Table for Data Exchange'!$D$421)*100</f>
        <v>0</v>
      </c>
      <c r="K85" s="89">
        <f>(' Pivot Table for Data Exchange'!$D$424)*100</f>
        <v>0</v>
      </c>
      <c r="L85" s="83">
        <f>SUM(M85:O85)</f>
        <v>0</v>
      </c>
      <c r="M85" s="89">
        <f>(' Pivot Table for Data Exchange'!$D$427)*100</f>
        <v>0</v>
      </c>
      <c r="N85" s="89">
        <f>(' Pivot Table for Data Exchange'!$D$430)*100</f>
        <v>0</v>
      </c>
      <c r="O85" s="91">
        <f>(' Pivot Table for Data Exchange'!$D$433)*100</f>
        <v>0</v>
      </c>
      <c r="P85" s="89">
        <f>(' Pivot Table for Data Exchange'!$D$436)*100</f>
        <v>0</v>
      </c>
      <c r="Q85" s="23">
        <f t="shared" si="22"/>
        <v>0</v>
      </c>
      <c r="R85" s="23">
        <f t="shared" si="23"/>
        <v>0</v>
      </c>
      <c r="S85" s="31"/>
      <c r="T85" s="31"/>
      <c r="U85" s="31"/>
      <c r="V85" s="31"/>
      <c r="W85" s="31"/>
      <c r="X85" s="31"/>
      <c r="Y85" s="31"/>
      <c r="Z85" s="31"/>
      <c r="AA85" s="31"/>
      <c r="AB85" s="31"/>
      <c r="AC85" s="31"/>
      <c r="AD85" s="31"/>
      <c r="AE85" s="31"/>
      <c r="AF85" s="31"/>
      <c r="AG85" s="31"/>
      <c r="AH85" s="31"/>
      <c r="AI85" s="31"/>
      <c r="AJ85" s="31"/>
      <c r="AK85" s="31"/>
      <c r="AL85" s="31"/>
      <c r="AM85" s="31"/>
      <c r="AN85" s="31"/>
      <c r="AO85" s="31"/>
    </row>
    <row r="86" spans="1:41" ht="8.25" customHeight="1">
      <c r="A86" s="24"/>
      <c r="B86" s="89"/>
      <c r="C86" s="89"/>
      <c r="D86" s="83"/>
      <c r="E86" s="89"/>
      <c r="F86" s="89"/>
      <c r="G86" s="91"/>
      <c r="H86" s="89"/>
      <c r="I86" s="24"/>
      <c r="J86" s="89"/>
      <c r="K86" s="89"/>
      <c r="L86" s="83"/>
      <c r="M86" s="89"/>
      <c r="N86" s="89"/>
      <c r="O86" s="91"/>
      <c r="P86" s="89"/>
      <c r="Q86" s="23">
        <f t="shared" si="22"/>
        <v>0</v>
      </c>
      <c r="R86" s="23">
        <f t="shared" si="23"/>
        <v>0</v>
      </c>
      <c r="S86" s="31"/>
      <c r="T86" s="31"/>
      <c r="U86" s="31"/>
      <c r="V86" s="31"/>
      <c r="W86" s="31"/>
      <c r="X86" s="31"/>
      <c r="Y86" s="31"/>
      <c r="Z86" s="31"/>
      <c r="AA86" s="31"/>
      <c r="AB86" s="31"/>
      <c r="AC86" s="31"/>
      <c r="AD86" s="31"/>
      <c r="AE86" s="31"/>
      <c r="AF86" s="31"/>
      <c r="AG86" s="31"/>
      <c r="AH86" s="31"/>
      <c r="AI86" s="31"/>
      <c r="AJ86" s="31"/>
      <c r="AK86" s="31"/>
      <c r="AL86" s="31"/>
      <c r="AM86" s="31"/>
      <c r="AN86" s="31"/>
      <c r="AO86" s="31"/>
    </row>
    <row r="87" spans="1:41" ht="15.75" customHeight="1">
      <c r="A87" s="24" t="s">
        <v>229</v>
      </c>
      <c r="B87" s="89">
        <f>(' Pivot Table for Data Exchange'!$D$439)*100</f>
        <v>87.353203035570431</v>
      </c>
      <c r="C87" s="89">
        <f>(' Pivot Table for Data Exchange'!$D$442)*100</f>
        <v>2.5505076325692868</v>
      </c>
      <c r="D87" s="83">
        <f>SUM(E87:G87)</f>
        <v>9.3900179311135989</v>
      </c>
      <c r="E87" s="89">
        <f>(' Pivot Table for Data Exchange'!$D$445)*100</f>
        <v>6.3649218537629153</v>
      </c>
      <c r="F87" s="89">
        <f>(' Pivot Table for Data Exchange'!$D$448)*100</f>
        <v>0.42146845595405247</v>
      </c>
      <c r="G87" s="91">
        <f>(' Pivot Table for Data Exchange'!$D$451)*100</f>
        <v>2.6036276213966318</v>
      </c>
      <c r="H87" s="89">
        <f>(' Pivot Table for Data Exchange'!$D$454)*100</f>
        <v>0.7062714007466725</v>
      </c>
      <c r="I87" s="24" t="s">
        <v>229</v>
      </c>
      <c r="J87" s="89">
        <f>(' Pivot Table for Data Exchange'!$D$457)*100</f>
        <v>72.939424031777548</v>
      </c>
      <c r="K87" s="89">
        <f>(' Pivot Table for Data Exchange'!$D$460)*100</f>
        <v>6.5528145089635714</v>
      </c>
      <c r="L87" s="83">
        <f>SUM(M87:O87)</f>
        <v>10.748445094862278</v>
      </c>
      <c r="M87" s="89">
        <f>(' Pivot Table for Data Exchange'!$D$463)*100</f>
        <v>8.5101656823289602</v>
      </c>
      <c r="N87" s="89">
        <f>(' Pivot Table for Data Exchange'!$D$466)*100</f>
        <v>6.663879161657868E-2</v>
      </c>
      <c r="O87" s="91">
        <f>(' Pivot Table for Data Exchange'!$D$469)*100</f>
        <v>2.1716406209167407</v>
      </c>
      <c r="P87" s="89">
        <f>(' Pivot Table for Data Exchange'!$D$472)*100</f>
        <v>9.7593163643965912</v>
      </c>
      <c r="Q87" s="23">
        <f t="shared" si="22"/>
        <v>100</v>
      </c>
      <c r="R87" s="23">
        <f t="shared" si="23"/>
        <v>99.999999999999986</v>
      </c>
      <c r="S87" s="31"/>
      <c r="T87" s="31"/>
      <c r="U87" s="31"/>
      <c r="V87" s="31"/>
      <c r="W87" s="31"/>
      <c r="X87" s="31"/>
      <c r="Y87" s="31"/>
      <c r="Z87" s="31"/>
      <c r="AA87" s="31"/>
      <c r="AB87" s="31"/>
      <c r="AC87" s="31"/>
      <c r="AD87" s="31"/>
      <c r="AE87" s="31"/>
      <c r="AF87" s="31"/>
      <c r="AG87" s="31"/>
      <c r="AH87" s="31"/>
      <c r="AI87" s="31"/>
      <c r="AJ87" s="31"/>
      <c r="AK87" s="31"/>
      <c r="AL87" s="31"/>
      <c r="AM87" s="31"/>
      <c r="AN87" s="31"/>
      <c r="AO87" s="31"/>
    </row>
    <row r="88" spans="1:41" ht="15.75" customHeight="1">
      <c r="A88" s="24" t="s">
        <v>213</v>
      </c>
      <c r="B88" s="89">
        <f>(' Pivot Table for Data Exchange'!$D$475)*100</f>
        <v>91.243702496192995</v>
      </c>
      <c r="C88" s="89">
        <f>(' Pivot Table for Data Exchange'!$D$478)*100</f>
        <v>1.0728397297859353</v>
      </c>
      <c r="D88" s="83">
        <f>SUM(E88:G88)</f>
        <v>7.6834577740210781</v>
      </c>
      <c r="E88" s="89">
        <f>(' Pivot Table for Data Exchange'!$D$481)*100</f>
        <v>7.6834577740210781</v>
      </c>
      <c r="F88" s="156">
        <f>(' Pivot Table for Data Exchange'!$D$484)*100</f>
        <v>0</v>
      </c>
      <c r="G88" s="91">
        <f>(' Pivot Table for Data Exchange'!$D$487)*100</f>
        <v>0</v>
      </c>
      <c r="H88" s="89">
        <f>(' Pivot Table for Data Exchange'!$D$490)*100</f>
        <v>0</v>
      </c>
      <c r="I88" s="24" t="s">
        <v>213</v>
      </c>
      <c r="J88" s="89">
        <f>(' Pivot Table for Data Exchange'!$D$493)*100</f>
        <v>65.624160976423894</v>
      </c>
      <c r="K88" s="89">
        <f>(' Pivot Table for Data Exchange'!$D$496)*100</f>
        <v>2.4831469642766439</v>
      </c>
      <c r="L88" s="83">
        <f>SUM(M88:O88)</f>
        <v>31.892692059299467</v>
      </c>
      <c r="M88" s="89">
        <f>(' Pivot Table for Data Exchange'!$D$499)*100</f>
        <v>31.36079646467212</v>
      </c>
      <c r="N88" s="89">
        <f>(' Pivot Table for Data Exchange'!$D$502)*100</f>
        <v>0.53189559462734648</v>
      </c>
      <c r="O88" s="91">
        <f>(' Pivot Table for Data Exchange'!$D$505)*100</f>
        <v>0</v>
      </c>
      <c r="P88" s="89">
        <f>(' Pivot Table for Data Exchange'!$D$508)*100</f>
        <v>0</v>
      </c>
      <c r="Q88" s="23">
        <f t="shared" si="22"/>
        <v>100.00000000000001</v>
      </c>
      <c r="R88" s="23">
        <f t="shared" si="23"/>
        <v>100</v>
      </c>
      <c r="S88" s="31"/>
      <c r="T88" s="31"/>
      <c r="U88" s="31"/>
      <c r="V88" s="31"/>
      <c r="W88" s="31"/>
      <c r="X88" s="31"/>
      <c r="Y88" s="31"/>
      <c r="Z88" s="31"/>
      <c r="AA88" s="31"/>
      <c r="AB88" s="31"/>
      <c r="AC88" s="31"/>
      <c r="AD88" s="31"/>
      <c r="AE88" s="31"/>
      <c r="AF88" s="31"/>
      <c r="AG88" s="31"/>
      <c r="AH88" s="31"/>
      <c r="AI88" s="31"/>
      <c r="AJ88" s="31"/>
      <c r="AK88" s="31"/>
      <c r="AL88" s="31"/>
      <c r="AM88" s="31"/>
      <c r="AN88" s="31"/>
      <c r="AO88" s="31"/>
    </row>
    <row r="89" spans="1:41" ht="15.75" customHeight="1">
      <c r="A89" s="24" t="s">
        <v>230</v>
      </c>
      <c r="B89" s="89">
        <f>(' Pivot Table for Data Exchange'!$D$511)*100</f>
        <v>0</v>
      </c>
      <c r="C89" s="89">
        <f>(' Pivot Table for Data Exchange'!$D$514)*100</f>
        <v>0</v>
      </c>
      <c r="D89" s="83">
        <f>SUM(E89:G89)</f>
        <v>0</v>
      </c>
      <c r="E89" s="89">
        <f>(' Pivot Table for Data Exchange'!$D$517)*100</f>
        <v>0</v>
      </c>
      <c r="F89" s="89">
        <f>(' Pivot Table for Data Exchange'!$D$520)*100</f>
        <v>0</v>
      </c>
      <c r="G89" s="91">
        <f>(' Pivot Table for Data Exchange'!$D$523)*100</f>
        <v>0</v>
      </c>
      <c r="H89" s="89">
        <f>(' Pivot Table for Data Exchange'!$D$526)*100</f>
        <v>0</v>
      </c>
      <c r="I89" s="24" t="s">
        <v>230</v>
      </c>
      <c r="J89" s="89">
        <f>(' Pivot Table for Data Exchange'!$D$529)*100</f>
        <v>0</v>
      </c>
      <c r="K89" s="89">
        <f>(' Pivot Table for Data Exchange'!$D$532)*100</f>
        <v>0</v>
      </c>
      <c r="L89" s="83">
        <f>SUM(M89:O89)</f>
        <v>0</v>
      </c>
      <c r="M89" s="89">
        <f>(' Pivot Table for Data Exchange'!$D$535)*100</f>
        <v>0</v>
      </c>
      <c r="N89" s="89">
        <f>(' Pivot Table for Data Exchange'!$D$538)*100</f>
        <v>0</v>
      </c>
      <c r="O89" s="91">
        <f>(' Pivot Table for Data Exchange'!$D$541)*100</f>
        <v>0</v>
      </c>
      <c r="P89" s="89">
        <f>(' Pivot Table for Data Exchange'!$D$544)*100</f>
        <v>0</v>
      </c>
      <c r="Q89" s="23">
        <f t="shared" si="22"/>
        <v>0</v>
      </c>
      <c r="R89" s="23">
        <f t="shared" si="23"/>
        <v>0</v>
      </c>
      <c r="S89" s="31"/>
      <c r="T89" s="31"/>
      <c r="U89" s="31"/>
      <c r="V89" s="31"/>
      <c r="W89" s="31"/>
      <c r="X89" s="31"/>
      <c r="Y89" s="31"/>
      <c r="Z89" s="31"/>
      <c r="AA89" s="31"/>
      <c r="AB89" s="31"/>
      <c r="AC89" s="31"/>
      <c r="AD89" s="31"/>
      <c r="AE89" s="31"/>
      <c r="AF89" s="31"/>
      <c r="AG89" s="31"/>
      <c r="AH89" s="31"/>
      <c r="AI89" s="31"/>
      <c r="AJ89" s="31"/>
      <c r="AK89" s="31"/>
      <c r="AL89" s="31"/>
      <c r="AM89" s="31"/>
      <c r="AN89" s="31"/>
      <c r="AO89" s="31"/>
    </row>
    <row r="90" spans="1:41" ht="15.75" customHeight="1">
      <c r="A90" s="18" t="s">
        <v>206</v>
      </c>
      <c r="B90" s="92">
        <f>(' Pivot Table for Data Exchange'!$D$547)*100</f>
        <v>0</v>
      </c>
      <c r="C90" s="92">
        <f>(' Pivot Table for Data Exchange'!$D$550)*100</f>
        <v>0</v>
      </c>
      <c r="D90" s="84">
        <f>SUM(E90:G90)</f>
        <v>0</v>
      </c>
      <c r="E90" s="92">
        <f>(' Pivot Table for Data Exchange'!$D$553)*100</f>
        <v>0</v>
      </c>
      <c r="F90" s="92">
        <f>(' Pivot Table for Data Exchange'!$D$556)*100</f>
        <v>0</v>
      </c>
      <c r="G90" s="93">
        <f>(' Pivot Table for Data Exchange'!$D$559)*100</f>
        <v>0</v>
      </c>
      <c r="H90" s="92">
        <f>(' Pivot Table for Data Exchange'!$D$562)*100</f>
        <v>0</v>
      </c>
      <c r="I90" s="18" t="s">
        <v>206</v>
      </c>
      <c r="J90" s="92">
        <f>(' Pivot Table for Data Exchange'!$D$565)*100</f>
        <v>0</v>
      </c>
      <c r="K90" s="92">
        <f>(' Pivot Table for Data Exchange'!$D$568)*100</f>
        <v>0</v>
      </c>
      <c r="L90" s="84">
        <f>SUM(M90:O90)</f>
        <v>0</v>
      </c>
      <c r="M90" s="92">
        <f>(' Pivot Table for Data Exchange'!$D$571)*100</f>
        <v>0</v>
      </c>
      <c r="N90" s="92">
        <f>(' Pivot Table for Data Exchange'!$D$574)*100</f>
        <v>0</v>
      </c>
      <c r="O90" s="93">
        <f>(' Pivot Table for Data Exchange'!$D$577)*100</f>
        <v>0</v>
      </c>
      <c r="P90" s="92">
        <f>(' Pivot Table for Data Exchange'!$D$580)*100</f>
        <v>0</v>
      </c>
      <c r="Q90" s="23">
        <f t="shared" si="22"/>
        <v>0</v>
      </c>
      <c r="R90" s="23">
        <f t="shared" si="23"/>
        <v>0</v>
      </c>
      <c r="S90" s="31"/>
      <c r="T90" s="31"/>
      <c r="U90" s="31"/>
      <c r="V90" s="31"/>
      <c r="W90" s="31"/>
      <c r="X90" s="31"/>
      <c r="Y90" s="31"/>
      <c r="Z90" s="31"/>
      <c r="AA90" s="31"/>
      <c r="AB90" s="31"/>
      <c r="AC90" s="31"/>
      <c r="AD90" s="31"/>
      <c r="AE90" s="31"/>
      <c r="AF90" s="31"/>
      <c r="AG90" s="31"/>
      <c r="AH90" s="31"/>
      <c r="AI90" s="31"/>
      <c r="AJ90" s="31"/>
      <c r="AK90" s="31"/>
      <c r="AL90" s="31"/>
      <c r="AM90" s="31"/>
      <c r="AN90" s="31"/>
      <c r="AO90" s="31"/>
    </row>
    <row r="91" spans="1:41" s="45" customFormat="1" ht="18" customHeight="1">
      <c r="A91" s="85" t="s">
        <v>35</v>
      </c>
      <c r="B91" s="49"/>
      <c r="C91" s="49"/>
      <c r="D91" s="50"/>
      <c r="E91" s="49"/>
      <c r="F91" s="50"/>
      <c r="G91" s="50"/>
      <c r="H91" s="49"/>
      <c r="I91" s="85" t="s">
        <v>35</v>
      </c>
      <c r="J91" s="49"/>
      <c r="K91" s="49"/>
      <c r="L91" s="50"/>
      <c r="M91" s="49"/>
      <c r="N91" s="50"/>
      <c r="O91" s="50"/>
      <c r="P91" s="49"/>
      <c r="Q91" s="23">
        <f t="shared" si="22"/>
        <v>0</v>
      </c>
      <c r="R91" s="23">
        <f t="shared" si="23"/>
        <v>0</v>
      </c>
      <c r="S91" s="51"/>
      <c r="T91" s="51"/>
      <c r="U91" s="51"/>
      <c r="V91" s="51"/>
      <c r="W91" s="51"/>
      <c r="X91" s="51"/>
      <c r="Y91" s="51"/>
      <c r="Z91" s="51"/>
      <c r="AA91" s="51"/>
      <c r="AB91" s="51"/>
      <c r="AC91" s="51"/>
      <c r="AD91" s="51"/>
      <c r="AE91" s="51"/>
      <c r="AF91" s="51"/>
      <c r="AG91" s="51"/>
      <c r="AH91" s="51"/>
      <c r="AI91" s="51"/>
      <c r="AJ91" s="51"/>
      <c r="AK91" s="51"/>
      <c r="AL91" s="51"/>
      <c r="AM91" s="51"/>
      <c r="AN91" s="51"/>
      <c r="AO91" s="51"/>
    </row>
    <row r="92" spans="1:41" s="45" customFormat="1" ht="24.75" customHeight="1">
      <c r="A92" s="601" t="s">
        <v>897</v>
      </c>
      <c r="B92" s="602"/>
      <c r="C92" s="602"/>
      <c r="D92" s="602"/>
      <c r="E92" s="602"/>
      <c r="F92" s="602"/>
      <c r="G92" s="602"/>
      <c r="H92" s="602"/>
      <c r="I92" s="601" t="s">
        <v>897</v>
      </c>
      <c r="J92" s="602"/>
      <c r="K92" s="602"/>
      <c r="L92" s="602"/>
      <c r="M92" s="602"/>
      <c r="N92" s="602"/>
      <c r="O92" s="602"/>
      <c r="P92" s="602"/>
      <c r="Q92" s="23">
        <f t="shared" si="22"/>
        <v>0</v>
      </c>
      <c r="R92" s="23">
        <f t="shared" si="23"/>
        <v>0</v>
      </c>
      <c r="S92" s="51"/>
      <c r="T92" s="51"/>
      <c r="U92" s="51"/>
      <c r="V92" s="51"/>
      <c r="W92" s="51"/>
      <c r="X92" s="51"/>
      <c r="Y92" s="51"/>
      <c r="Z92" s="51"/>
      <c r="AA92" s="51"/>
      <c r="AB92" s="51"/>
      <c r="AC92" s="51"/>
      <c r="AD92" s="51"/>
      <c r="AE92" s="51"/>
      <c r="AF92" s="51"/>
      <c r="AG92" s="51"/>
      <c r="AH92" s="51"/>
      <c r="AI92" s="51"/>
      <c r="AJ92" s="51"/>
      <c r="AK92" s="51"/>
      <c r="AL92" s="51"/>
      <c r="AM92" s="51"/>
      <c r="AN92" s="51"/>
      <c r="AO92" s="51"/>
    </row>
    <row r="93" spans="1:41" s="45" customFormat="1" ht="18" customHeight="1">
      <c r="A93" s="103"/>
      <c r="B93" s="102"/>
      <c r="C93" s="102"/>
      <c r="D93" s="102"/>
      <c r="E93" s="102"/>
      <c r="F93" s="102"/>
      <c r="G93" s="152"/>
      <c r="H93" s="152"/>
      <c r="I93" s="103"/>
      <c r="J93" s="102"/>
      <c r="K93" s="102"/>
      <c r="L93" s="102"/>
      <c r="M93" s="102"/>
      <c r="N93" s="102"/>
      <c r="O93" s="102"/>
      <c r="P93" s="152"/>
      <c r="Q93" s="23">
        <f t="shared" si="22"/>
        <v>0</v>
      </c>
      <c r="R93" s="23">
        <f t="shared" si="23"/>
        <v>0</v>
      </c>
      <c r="S93" s="51"/>
      <c r="T93" s="51"/>
      <c r="U93" s="51"/>
      <c r="V93" s="51"/>
      <c r="W93" s="51"/>
      <c r="X93" s="51"/>
      <c r="Y93" s="51"/>
      <c r="Z93" s="51"/>
      <c r="AA93" s="51"/>
      <c r="AB93" s="51"/>
      <c r="AC93" s="51"/>
      <c r="AD93" s="51"/>
      <c r="AE93" s="51"/>
      <c r="AF93" s="51"/>
      <c r="AG93" s="51"/>
      <c r="AH93" s="51"/>
      <c r="AI93" s="51"/>
      <c r="AJ93" s="51"/>
      <c r="AK93" s="51"/>
      <c r="AL93" s="51"/>
      <c r="AM93" s="51"/>
      <c r="AN93" s="51"/>
      <c r="AO93" s="51"/>
    </row>
    <row r="94" spans="1:41" s="45" customFormat="1" ht="13.5" customHeight="1">
      <c r="A94" s="85"/>
      <c r="B94" s="44"/>
      <c r="H94" s="572" t="s">
        <v>889</v>
      </c>
      <c r="I94" s="85"/>
      <c r="P94" s="572" t="s">
        <v>889</v>
      </c>
      <c r="Q94" s="23">
        <f t="shared" si="22"/>
        <v>0</v>
      </c>
      <c r="R94" s="23">
        <f t="shared" si="23"/>
        <v>0</v>
      </c>
    </row>
    <row r="95" spans="1:41" ht="18">
      <c r="A95" s="15" t="s">
        <v>2</v>
      </c>
      <c r="B95" s="16"/>
      <c r="C95" s="16"/>
      <c r="D95" s="16"/>
      <c r="E95" s="16"/>
      <c r="F95" s="16"/>
      <c r="G95" s="16"/>
      <c r="H95" s="30"/>
      <c r="I95" s="15" t="s">
        <v>17</v>
      </c>
      <c r="J95" s="17"/>
      <c r="K95" s="17"/>
      <c r="L95" s="16"/>
      <c r="M95" s="17"/>
      <c r="N95" s="17"/>
      <c r="O95" s="17"/>
      <c r="P95" s="17"/>
      <c r="Q95" s="23">
        <f t="shared" si="22"/>
        <v>0</v>
      </c>
      <c r="R95" s="23">
        <f t="shared" si="23"/>
        <v>0</v>
      </c>
    </row>
    <row r="96" spans="1:41">
      <c r="A96" s="58"/>
      <c r="B96" s="17"/>
      <c r="C96" s="17"/>
      <c r="D96" s="17"/>
      <c r="E96" s="17"/>
      <c r="F96" s="17"/>
      <c r="G96" s="17"/>
      <c r="H96" s="27"/>
      <c r="I96" s="58"/>
      <c r="J96" s="17"/>
      <c r="K96" s="17"/>
      <c r="L96" s="17"/>
      <c r="M96" s="17"/>
      <c r="N96" s="17"/>
      <c r="O96" s="17"/>
      <c r="P96" s="17"/>
      <c r="Q96" s="23">
        <f t="shared" si="22"/>
        <v>0</v>
      </c>
      <c r="R96" s="23">
        <f t="shared" si="23"/>
        <v>0</v>
      </c>
    </row>
    <row r="97" spans="1:41" ht="15.75">
      <c r="A97" s="26" t="s">
        <v>23</v>
      </c>
      <c r="B97" s="17"/>
      <c r="C97" s="17"/>
      <c r="D97" s="17"/>
      <c r="E97" s="17"/>
      <c r="F97" s="17"/>
      <c r="G97" s="17"/>
      <c r="H97" s="27"/>
      <c r="I97" s="26" t="s">
        <v>24</v>
      </c>
      <c r="J97" s="17"/>
      <c r="K97" s="17"/>
      <c r="L97" s="17"/>
      <c r="M97" s="17"/>
      <c r="N97" s="17"/>
      <c r="O97" s="17"/>
      <c r="P97" s="17"/>
      <c r="Q97" s="23">
        <f t="shared" si="22"/>
        <v>0</v>
      </c>
      <c r="R97" s="23">
        <f t="shared" si="23"/>
        <v>0</v>
      </c>
    </row>
    <row r="98" spans="1:41" ht="15.75">
      <c r="A98" s="26" t="s">
        <v>755</v>
      </c>
      <c r="B98" s="17"/>
      <c r="C98" s="17"/>
      <c r="D98" s="17"/>
      <c r="E98" s="17"/>
      <c r="F98" s="17"/>
      <c r="G98" s="17"/>
      <c r="H98" s="27"/>
      <c r="I98" s="26" t="s">
        <v>755</v>
      </c>
      <c r="J98" s="17"/>
      <c r="K98" s="17"/>
      <c r="L98" s="17"/>
      <c r="M98" s="17"/>
      <c r="N98" s="17"/>
      <c r="O98" s="17"/>
      <c r="P98" s="17"/>
      <c r="Q98" s="23">
        <f t="shared" si="22"/>
        <v>0</v>
      </c>
      <c r="R98" s="23">
        <f t="shared" si="23"/>
        <v>0</v>
      </c>
    </row>
    <row r="99" spans="1:41">
      <c r="A99" s="18"/>
      <c r="B99" s="19"/>
      <c r="C99" s="19"/>
      <c r="D99" s="19"/>
      <c r="E99" s="19"/>
      <c r="F99" s="19"/>
      <c r="G99" s="19"/>
      <c r="H99" s="19"/>
      <c r="I99" s="20"/>
      <c r="L99" s="21"/>
      <c r="P99" s="18"/>
      <c r="Q99" s="23">
        <f t="shared" si="22"/>
        <v>0</v>
      </c>
      <c r="R99" s="23">
        <f t="shared" si="23"/>
        <v>0</v>
      </c>
    </row>
    <row r="100" spans="1:41" s="67" customFormat="1">
      <c r="A100" s="63"/>
      <c r="B100" s="598" t="s">
        <v>215</v>
      </c>
      <c r="C100" s="598"/>
      <c r="D100" s="598"/>
      <c r="E100" s="598"/>
      <c r="F100" s="598"/>
      <c r="G100" s="598"/>
      <c r="H100" s="598"/>
      <c r="I100" s="63"/>
      <c r="J100" s="64" t="s">
        <v>215</v>
      </c>
      <c r="K100" s="64"/>
      <c r="L100" s="64"/>
      <c r="M100" s="64"/>
      <c r="N100" s="64"/>
      <c r="O100" s="64"/>
      <c r="P100" s="65"/>
      <c r="Q100" s="23">
        <f t="shared" si="22"/>
        <v>0</v>
      </c>
      <c r="R100" s="23">
        <f t="shared" si="23"/>
        <v>0</v>
      </c>
    </row>
    <row r="101" spans="1:41" s="67" customFormat="1">
      <c r="A101" s="63"/>
      <c r="B101" s="64" t="s">
        <v>209</v>
      </c>
      <c r="C101" s="64"/>
      <c r="D101" s="597" t="s">
        <v>30</v>
      </c>
      <c r="E101" s="598"/>
      <c r="F101" s="598"/>
      <c r="G101" s="598"/>
      <c r="H101" s="68" t="s">
        <v>196</v>
      </c>
      <c r="I101" s="63"/>
      <c r="J101" s="64" t="s">
        <v>209</v>
      </c>
      <c r="K101" s="64"/>
      <c r="L101" s="597" t="s">
        <v>30</v>
      </c>
      <c r="M101" s="598"/>
      <c r="N101" s="598"/>
      <c r="O101" s="598"/>
      <c r="P101" s="68" t="s">
        <v>196</v>
      </c>
      <c r="Q101" s="23">
        <f t="shared" si="22"/>
        <v>0</v>
      </c>
      <c r="R101" s="23">
        <f t="shared" si="23"/>
        <v>0</v>
      </c>
    </row>
    <row r="102" spans="1:41" s="67" customFormat="1" ht="40.5" customHeight="1">
      <c r="A102" s="63"/>
      <c r="B102" s="69" t="s">
        <v>22</v>
      </c>
      <c r="C102" s="70" t="s">
        <v>21</v>
      </c>
      <c r="D102" s="71" t="s">
        <v>28</v>
      </c>
      <c r="E102" s="72" t="s">
        <v>195</v>
      </c>
      <c r="F102" s="69" t="s">
        <v>210</v>
      </c>
      <c r="G102" s="73" t="s">
        <v>32</v>
      </c>
      <c r="H102" s="74" t="s">
        <v>31</v>
      </c>
      <c r="I102" s="63"/>
      <c r="J102" s="69" t="s">
        <v>22</v>
      </c>
      <c r="K102" s="70" t="s">
        <v>21</v>
      </c>
      <c r="L102" s="71" t="s">
        <v>28</v>
      </c>
      <c r="M102" s="72" t="s">
        <v>195</v>
      </c>
      <c r="N102" s="69" t="s">
        <v>210</v>
      </c>
      <c r="O102" s="73" t="s">
        <v>32</v>
      </c>
      <c r="P102" s="74" t="s">
        <v>31</v>
      </c>
      <c r="Q102" s="23">
        <f t="shared" si="22"/>
        <v>0</v>
      </c>
      <c r="R102" s="23">
        <f t="shared" si="23"/>
        <v>0</v>
      </c>
      <c r="T102" s="75"/>
    </row>
    <row r="103" spans="1:41" ht="15.75" customHeight="1">
      <c r="A103" s="25" t="s">
        <v>220</v>
      </c>
      <c r="B103" s="89">
        <f>(' Pivot Table for Data Exchange'!$E$7)*100</f>
        <v>84.859878613161229</v>
      </c>
      <c r="C103" s="89">
        <f>(' Pivot Table for Data Exchange'!$E$10)*100</f>
        <v>0.95542936977631931</v>
      </c>
      <c r="D103" s="83">
        <f>SUM(E103:G103)</f>
        <v>14.175308452115798</v>
      </c>
      <c r="E103" s="89">
        <f>(' Pivot Table for Data Exchange'!$E$13)*100</f>
        <v>13.477536136499591</v>
      </c>
      <c r="F103" s="89">
        <f>(' Pivot Table for Data Exchange'!$E$16)*100</f>
        <v>0.69777231561620701</v>
      </c>
      <c r="G103" s="90">
        <f>(' Pivot Table for Data Exchange'!$E$19)*100</f>
        <v>0</v>
      </c>
      <c r="H103" s="156">
        <f>(' Pivot Table for Data Exchange'!$E$22)*100</f>
        <v>9.3835649466505241E-3</v>
      </c>
      <c r="I103" s="25" t="s">
        <v>220</v>
      </c>
      <c r="J103" s="89">
        <f>(' Pivot Table for Data Exchange'!$E$25)*100</f>
        <v>70.363324692700061</v>
      </c>
      <c r="K103" s="89">
        <f>(' Pivot Table for Data Exchange'!$E$28)*100</f>
        <v>2.6465423530395515</v>
      </c>
      <c r="L103" s="83">
        <f>SUM(M103:O103)</f>
        <v>26.990132954260389</v>
      </c>
      <c r="M103" s="89">
        <f>(' Pivot Table for Data Exchange'!$E$31)*100</f>
        <v>23.793795467848483</v>
      </c>
      <c r="N103" s="89">
        <f>(' Pivot Table for Data Exchange'!$E$34)*100</f>
        <v>3.196337486411907</v>
      </c>
      <c r="O103" s="90">
        <f>(' Pivot Table for Data Exchange'!$E$37)*100</f>
        <v>0</v>
      </c>
      <c r="P103" s="89">
        <f>(' Pivot Table for Data Exchange'!$E$40)*100</f>
        <v>0</v>
      </c>
      <c r="Q103" s="23">
        <f>SUM(B103,C103,D103,H103)</f>
        <v>100</v>
      </c>
      <c r="R103" s="23">
        <f t="shared" si="23"/>
        <v>100</v>
      </c>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row>
    <row r="104" spans="1:41" ht="15.75" customHeight="1">
      <c r="A104" s="24" t="s">
        <v>221</v>
      </c>
      <c r="B104" s="89">
        <f>(' Pivot Table for Data Exchange'!$E$43)*100</f>
        <v>82.467423456672833</v>
      </c>
      <c r="C104" s="89">
        <f>(' Pivot Table for Data Exchange'!$E$46)*100</f>
        <v>6.5531785310396256</v>
      </c>
      <c r="D104" s="83">
        <f>SUM(E104:G104)</f>
        <v>10.802932246776182</v>
      </c>
      <c r="E104" s="89">
        <f>(' Pivot Table for Data Exchange'!$E$49)*100</f>
        <v>9.2805896767527187</v>
      </c>
      <c r="F104" s="89">
        <f>(' Pivot Table for Data Exchange'!$E$52)*100</f>
        <v>0.51104798020876574</v>
      </c>
      <c r="G104" s="91">
        <f>(' Pivot Table for Data Exchange'!$E$55)*100</f>
        <v>1.0112945898146979</v>
      </c>
      <c r="H104" s="89">
        <f>(' Pivot Table for Data Exchange'!$E$58)*100</f>
        <v>0.17646576551135382</v>
      </c>
      <c r="I104" s="24" t="s">
        <v>221</v>
      </c>
      <c r="J104" s="89">
        <f>(' Pivot Table for Data Exchange'!$E$61)*100</f>
        <v>62.051572984903956</v>
      </c>
      <c r="K104" s="89">
        <f>(' Pivot Table for Data Exchange'!$E$64)*100</f>
        <v>13.2495944544415</v>
      </c>
      <c r="L104" s="83">
        <f>SUM(M104:O104)</f>
        <v>24.680217354690587</v>
      </c>
      <c r="M104" s="89">
        <f>(' Pivot Table for Data Exchange'!$E$67)*100</f>
        <v>15.839767398569288</v>
      </c>
      <c r="N104" s="89">
        <f>(' Pivot Table for Data Exchange'!$E$70)*100</f>
        <v>1.3261118153371567</v>
      </c>
      <c r="O104" s="91">
        <f>(' Pivot Table for Data Exchange'!$E$73)*100</f>
        <v>7.5143381407841439</v>
      </c>
      <c r="P104" s="156">
        <f>(' Pivot Table for Data Exchange'!$E$76)*100</f>
        <v>1.8615205963957417E-2</v>
      </c>
      <c r="Q104" s="23">
        <f t="shared" si="22"/>
        <v>99.999999999999986</v>
      </c>
      <c r="R104" s="23">
        <f t="shared" si="23"/>
        <v>99.999999999999986</v>
      </c>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row>
    <row r="105" spans="1:41" ht="15.75" customHeight="1">
      <c r="A105" s="24" t="s">
        <v>222</v>
      </c>
      <c r="B105" s="89">
        <f>(' Pivot Table for Data Exchange'!$E$79)*100</f>
        <v>0</v>
      </c>
      <c r="C105" s="89">
        <f>(' Pivot Table for Data Exchange'!$E$82)*100</f>
        <v>0</v>
      </c>
      <c r="D105" s="83">
        <f>SUM(E105:G105)</f>
        <v>0</v>
      </c>
      <c r="E105" s="89">
        <f>(' Pivot Table for Data Exchange'!$E$85)*100</f>
        <v>0</v>
      </c>
      <c r="F105" s="89">
        <f>(' Pivot Table for Data Exchange'!$E$88)*100</f>
        <v>0</v>
      </c>
      <c r="G105" s="91">
        <f>(' Pivot Table for Data Exchange'!$E$91)*100</f>
        <v>0</v>
      </c>
      <c r="H105" s="89">
        <f>(' Pivot Table for Data Exchange'!$E$94)*100</f>
        <v>0</v>
      </c>
      <c r="I105" s="24" t="s">
        <v>222</v>
      </c>
      <c r="J105" s="89">
        <f>(' Pivot Table for Data Exchange'!$E$97)*100</f>
        <v>0</v>
      </c>
      <c r="K105" s="89">
        <f>(' Pivot Table for Data Exchange'!$E$100)*100</f>
        <v>0</v>
      </c>
      <c r="L105" s="83">
        <f>SUM(M105:O105)</f>
        <v>0</v>
      </c>
      <c r="M105" s="89">
        <f>(' Pivot Table for Data Exchange'!$E$103)*100</f>
        <v>0</v>
      </c>
      <c r="N105" s="89">
        <f>(' Pivot Table for Data Exchange'!$E$106)*100</f>
        <v>0</v>
      </c>
      <c r="O105" s="91">
        <f>(' Pivot Table for Data Exchange'!$E$109)*100</f>
        <v>0</v>
      </c>
      <c r="P105" s="89">
        <f>(' Pivot Table for Data Exchange'!$E$112)*100</f>
        <v>0</v>
      </c>
      <c r="Q105" s="23">
        <f t="shared" si="22"/>
        <v>0</v>
      </c>
      <c r="R105" s="23">
        <f t="shared" si="23"/>
        <v>0</v>
      </c>
      <c r="S105" s="31"/>
      <c r="T105" s="40"/>
      <c r="U105" s="31"/>
      <c r="V105" s="31"/>
      <c r="W105" s="31"/>
      <c r="X105" s="31"/>
      <c r="Y105" s="31"/>
      <c r="Z105" s="31"/>
      <c r="AA105" s="31"/>
      <c r="AB105" s="31"/>
      <c r="AC105" s="31"/>
      <c r="AD105" s="31"/>
      <c r="AE105" s="31"/>
      <c r="AF105" s="31"/>
      <c r="AG105" s="31"/>
      <c r="AH105" s="31"/>
      <c r="AI105" s="31"/>
      <c r="AJ105" s="31"/>
      <c r="AK105" s="31"/>
      <c r="AL105" s="31"/>
      <c r="AM105" s="31"/>
      <c r="AN105" s="31"/>
      <c r="AO105" s="31"/>
    </row>
    <row r="106" spans="1:41" ht="15.75" customHeight="1">
      <c r="A106" s="24" t="s">
        <v>111</v>
      </c>
      <c r="B106" s="89">
        <f>(' Pivot Table for Data Exchange'!$E$115)*100</f>
        <v>87.76462145676355</v>
      </c>
      <c r="C106" s="89">
        <f>(' Pivot Table for Data Exchange'!$E$118)*100</f>
        <v>2.1386643402726477</v>
      </c>
      <c r="D106" s="83">
        <f>SUM(E106:G106)</f>
        <v>10.096714202963808</v>
      </c>
      <c r="E106" s="89">
        <f>(' Pivot Table for Data Exchange'!$E$121)*100</f>
        <v>9.7083564917415366</v>
      </c>
      <c r="F106" s="89">
        <f>(' Pivot Table for Data Exchange'!$E$124)*100</f>
        <v>0.38835771122227147</v>
      </c>
      <c r="G106" s="159">
        <f>(' Pivot Table for Data Exchange'!$E$127)*100</f>
        <v>0</v>
      </c>
      <c r="H106" s="89">
        <f>(' Pivot Table for Data Exchange'!$E$130)*100</f>
        <v>0</v>
      </c>
      <c r="I106" s="24" t="s">
        <v>111</v>
      </c>
      <c r="J106" s="89">
        <f>(' Pivot Table for Data Exchange'!$E$133)*100</f>
        <v>64.817552054079087</v>
      </c>
      <c r="K106" s="89">
        <f>(' Pivot Table for Data Exchange'!$E$136)*100</f>
        <v>19.918014209556471</v>
      </c>
      <c r="L106" s="83">
        <f>SUM(M106:O106)</f>
        <v>15.264433736364442</v>
      </c>
      <c r="M106" s="89">
        <f>(' Pivot Table for Data Exchange'!$E$139)*100</f>
        <v>15.112188488485529</v>
      </c>
      <c r="N106" s="89">
        <f>(' Pivot Table for Data Exchange'!$E$142)*100</f>
        <v>0.14633281106808171</v>
      </c>
      <c r="O106" s="159">
        <f>(' Pivot Table for Data Exchange'!$E$145)*100</f>
        <v>5.9124368108315842E-3</v>
      </c>
      <c r="P106" s="89">
        <f>(' Pivot Table for Data Exchange'!$E$148)*100</f>
        <v>0</v>
      </c>
      <c r="Q106" s="23">
        <f t="shared" si="22"/>
        <v>100.00000000000001</v>
      </c>
      <c r="R106" s="23">
        <f t="shared" si="23"/>
        <v>100</v>
      </c>
      <c r="S106" s="31"/>
      <c r="U106" s="31"/>
      <c r="V106" s="31"/>
      <c r="W106" s="31"/>
      <c r="X106" s="31"/>
      <c r="Y106" s="31"/>
      <c r="Z106" s="31"/>
      <c r="AA106" s="31"/>
      <c r="AB106" s="31"/>
      <c r="AC106" s="31"/>
      <c r="AD106" s="31"/>
      <c r="AE106" s="31"/>
      <c r="AF106" s="31"/>
      <c r="AG106" s="31"/>
      <c r="AH106" s="31"/>
      <c r="AI106" s="31"/>
      <c r="AJ106" s="31"/>
      <c r="AK106" s="31"/>
      <c r="AL106" s="31"/>
      <c r="AM106" s="31"/>
      <c r="AN106" s="31"/>
      <c r="AO106" s="31"/>
    </row>
    <row r="107" spans="1:41" ht="11.25" customHeight="1">
      <c r="A107" s="24"/>
      <c r="B107" s="89"/>
      <c r="C107" s="89"/>
      <c r="D107" s="83"/>
      <c r="E107" s="89"/>
      <c r="F107" s="89"/>
      <c r="G107" s="91"/>
      <c r="H107" s="89"/>
      <c r="I107" s="24"/>
      <c r="J107" s="89"/>
      <c r="K107" s="89"/>
      <c r="L107" s="83"/>
      <c r="M107" s="89"/>
      <c r="N107" s="89"/>
      <c r="O107" s="91"/>
      <c r="P107" s="89"/>
      <c r="Q107" s="23">
        <f t="shared" si="22"/>
        <v>0</v>
      </c>
      <c r="R107" s="23">
        <f t="shared" si="23"/>
        <v>0</v>
      </c>
      <c r="S107" s="31"/>
      <c r="U107" s="31"/>
      <c r="V107" s="31"/>
      <c r="W107" s="31"/>
      <c r="X107" s="31"/>
      <c r="Y107" s="31"/>
      <c r="Z107" s="31"/>
      <c r="AA107" s="31"/>
      <c r="AB107" s="31"/>
      <c r="AC107" s="31"/>
      <c r="AD107" s="31"/>
      <c r="AE107" s="31"/>
      <c r="AF107" s="31"/>
      <c r="AG107" s="31"/>
      <c r="AH107" s="31"/>
      <c r="AI107" s="31"/>
      <c r="AJ107" s="31"/>
      <c r="AK107" s="31"/>
      <c r="AL107" s="31"/>
      <c r="AM107" s="31"/>
      <c r="AN107" s="31"/>
      <c r="AO107" s="31"/>
    </row>
    <row r="108" spans="1:41" ht="15.75" customHeight="1">
      <c r="A108" s="24" t="s">
        <v>224</v>
      </c>
      <c r="B108" s="89">
        <f>(' Pivot Table for Data Exchange'!$E$151)*100</f>
        <v>93.280814190434242</v>
      </c>
      <c r="C108" s="89">
        <f>(' Pivot Table for Data Exchange'!$E$154)*100</f>
        <v>1.7699033282312977</v>
      </c>
      <c r="D108" s="83">
        <f>SUM(E108:G108)</f>
        <v>4.9384008762771767</v>
      </c>
      <c r="E108" s="89">
        <f>(' Pivot Table for Data Exchange'!$E$157)*100</f>
        <v>4.8170607142233868</v>
      </c>
      <c r="F108" s="89">
        <f>(' Pivot Table for Data Exchange'!$E$160)*100</f>
        <v>0.11980031228153382</v>
      </c>
      <c r="G108" s="582">
        <f>(' Pivot Table for Data Exchange'!$E$163)*100</f>
        <v>1.5398497722562189E-3</v>
      </c>
      <c r="H108" s="156">
        <f>(' Pivot Table for Data Exchange'!$E$166)*100</f>
        <v>1.0881605057277279E-2</v>
      </c>
      <c r="I108" s="24" t="s">
        <v>224</v>
      </c>
      <c r="J108" s="89">
        <f>(' Pivot Table for Data Exchange'!$E$169)*100</f>
        <v>44.81215175352343</v>
      </c>
      <c r="K108" s="89">
        <f>(' Pivot Table for Data Exchange'!$E$172)*100</f>
        <v>11.747173058013766</v>
      </c>
      <c r="L108" s="83">
        <f>SUM(M108:O108)</f>
        <v>43.42838413634874</v>
      </c>
      <c r="M108" s="89">
        <f>(' Pivot Table for Data Exchange'!$E$175)*100</f>
        <v>42.902941658472635</v>
      </c>
      <c r="N108" s="89">
        <f>(' Pivot Table for Data Exchange'!$E$178)*100</f>
        <v>0.42711406096361848</v>
      </c>
      <c r="O108" s="91">
        <f>(' Pivot Table for Data Exchange'!$E$181)*100</f>
        <v>9.8328416912487712E-2</v>
      </c>
      <c r="P108" s="156">
        <f>(' Pivot Table for Data Exchange'!$E$184)*100</f>
        <v>1.2291052114060964E-2</v>
      </c>
      <c r="Q108" s="23">
        <f t="shared" si="22"/>
        <v>99.999999999999986</v>
      </c>
      <c r="R108" s="23">
        <f t="shared" si="23"/>
        <v>100</v>
      </c>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row>
    <row r="109" spans="1:41" ht="15.75" customHeight="1">
      <c r="A109" s="24" t="s">
        <v>225</v>
      </c>
      <c r="B109" s="89">
        <f>(' Pivot Table for Data Exchange'!$E$187)*100</f>
        <v>82.726746984210777</v>
      </c>
      <c r="C109" s="89">
        <f>(' Pivot Table for Data Exchange'!$E$190)*100</f>
        <v>7.7448921768020984</v>
      </c>
      <c r="D109" s="83">
        <f>SUM(E109:G109)</f>
        <v>9.5283608389871297</v>
      </c>
      <c r="E109" s="89">
        <f>(' Pivot Table for Data Exchange'!$E$193)*100</f>
        <v>7.0807975345826026</v>
      </c>
      <c r="F109" s="89">
        <f>(' Pivot Table for Data Exchange'!$E$196)*100</f>
        <v>2.0782552669575072</v>
      </c>
      <c r="G109" s="91">
        <f>(' Pivot Table for Data Exchange'!$E$199)*100</f>
        <v>0.3693080374470199</v>
      </c>
      <c r="H109" s="89">
        <f>(' Pivot Table for Data Exchange'!$E$202)*100</f>
        <v>0</v>
      </c>
      <c r="I109" s="24" t="s">
        <v>225</v>
      </c>
      <c r="J109" s="89">
        <f>(' Pivot Table for Data Exchange'!$E$205)*100</f>
        <v>55.334985348912923</v>
      </c>
      <c r="K109" s="89">
        <f>(' Pivot Table for Data Exchange'!$E$208)*100</f>
        <v>9.6959447237998759</v>
      </c>
      <c r="L109" s="83">
        <f>SUM(M109:O109)</f>
        <v>34.969069927287201</v>
      </c>
      <c r="M109" s="89">
        <f>(' Pivot Table for Data Exchange'!$E$211)*100</f>
        <v>30.987049162536628</v>
      </c>
      <c r="N109" s="89">
        <f>(' Pivot Table for Data Exchange'!$E$214)*100</f>
        <v>3.9141916579242486</v>
      </c>
      <c r="O109" s="91">
        <f>(' Pivot Table for Data Exchange'!$E$217)*100</f>
        <v>6.7829106826321317E-2</v>
      </c>
      <c r="P109" s="89">
        <f>(' Pivot Table for Data Exchange'!$E$220)*100</f>
        <v>0</v>
      </c>
      <c r="Q109" s="23">
        <f t="shared" si="22"/>
        <v>100</v>
      </c>
      <c r="R109" s="23">
        <f t="shared" si="23"/>
        <v>100</v>
      </c>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row>
    <row r="110" spans="1:41" ht="15.75" customHeight="1">
      <c r="A110" s="24" t="s">
        <v>226</v>
      </c>
      <c r="B110" s="89">
        <f>(' Pivot Table for Data Exchange'!$E$223)*100</f>
        <v>95.741837520776201</v>
      </c>
      <c r="C110" s="89">
        <f>(' Pivot Table for Data Exchange'!$E$226)*100</f>
        <v>0</v>
      </c>
      <c r="D110" s="83">
        <f>SUM(E110:G110)</f>
        <v>4.2581624792237935</v>
      </c>
      <c r="E110" s="89">
        <f>(' Pivot Table for Data Exchange'!$E$229)*100</f>
        <v>4.0456321044718075</v>
      </c>
      <c r="F110" s="89">
        <f>(' Pivot Table for Data Exchange'!$E$232)*100</f>
        <v>0.11852655515014601</v>
      </c>
      <c r="G110" s="91">
        <f>(' Pivot Table for Data Exchange'!$E$235)*100</f>
        <v>9.4003819601839941E-2</v>
      </c>
      <c r="H110" s="89">
        <f>(' Pivot Table for Data Exchange'!$E$238)*100</f>
        <v>0</v>
      </c>
      <c r="I110" s="24" t="s">
        <v>226</v>
      </c>
      <c r="J110" s="89">
        <f>(' Pivot Table for Data Exchange'!$E$241)*100</f>
        <v>93.121459869616331</v>
      </c>
      <c r="K110" s="89">
        <f>(' Pivot Table for Data Exchange'!$E$244)*100</f>
        <v>0</v>
      </c>
      <c r="L110" s="83">
        <f>SUM(M110:O110)</f>
        <v>6.8785401303836693</v>
      </c>
      <c r="M110" s="89">
        <f>(' Pivot Table for Data Exchange'!$E$247)*100</f>
        <v>6.758309287164689</v>
      </c>
      <c r="N110" s="89">
        <f>(' Pivot Table for Data Exchange'!$E$250)*100</f>
        <v>0.12023084321898043</v>
      </c>
      <c r="O110" s="91">
        <f>(' Pivot Table for Data Exchange'!$E$253)*100</f>
        <v>0</v>
      </c>
      <c r="P110" s="89">
        <f>(' Pivot Table for Data Exchange'!$E$256)*100</f>
        <v>0</v>
      </c>
      <c r="Q110" s="23">
        <f t="shared" si="22"/>
        <v>100</v>
      </c>
      <c r="R110" s="23">
        <f t="shared" si="23"/>
        <v>100</v>
      </c>
      <c r="S110" s="31"/>
      <c r="T110" s="40"/>
      <c r="U110" s="31"/>
      <c r="V110" s="31"/>
      <c r="W110" s="31"/>
      <c r="X110" s="31"/>
      <c r="Y110" s="31"/>
      <c r="Z110" s="31"/>
      <c r="AA110" s="31"/>
      <c r="AB110" s="31"/>
      <c r="AC110" s="31"/>
      <c r="AD110" s="31"/>
      <c r="AE110" s="31"/>
      <c r="AF110" s="31"/>
      <c r="AG110" s="31"/>
      <c r="AH110" s="31"/>
      <c r="AI110" s="31"/>
      <c r="AJ110" s="31"/>
      <c r="AK110" s="31"/>
      <c r="AL110" s="31"/>
      <c r="AM110" s="31"/>
      <c r="AN110" s="31"/>
      <c r="AO110" s="31"/>
    </row>
    <row r="111" spans="1:41" ht="15.75" customHeight="1">
      <c r="A111" s="24" t="s">
        <v>227</v>
      </c>
      <c r="B111" s="89">
        <f>(' Pivot Table for Data Exchange'!$E$259)*100</f>
        <v>96.94541589656022</v>
      </c>
      <c r="C111" s="89">
        <f>(' Pivot Table for Data Exchange'!$E$262)*100</f>
        <v>1.0978559454823245</v>
      </c>
      <c r="D111" s="83">
        <f>SUM(E111:G111)</f>
        <v>1.9567281579574627</v>
      </c>
      <c r="E111" s="89">
        <f>(' Pivot Table for Data Exchange'!$E$265)*100</f>
        <v>1.9567281579574627</v>
      </c>
      <c r="F111" s="89">
        <f>(' Pivot Table for Data Exchange'!$E$268)*100</f>
        <v>0</v>
      </c>
      <c r="G111" s="91">
        <f>(' Pivot Table for Data Exchange'!$E$271)*100</f>
        <v>0</v>
      </c>
      <c r="H111" s="89">
        <f>(' Pivot Table for Data Exchange'!$E$274)*100</f>
        <v>0</v>
      </c>
      <c r="I111" s="24" t="s">
        <v>227</v>
      </c>
      <c r="J111" s="89">
        <f>(' Pivot Table for Data Exchange'!$E$277)*100</f>
        <v>67.967970992597074</v>
      </c>
      <c r="K111" s="89">
        <f>(' Pivot Table for Data Exchange'!$E$280)*100</f>
        <v>26.516090043813268</v>
      </c>
      <c r="L111" s="83">
        <f>SUM(M111:O111)</f>
        <v>5.5159389635896661</v>
      </c>
      <c r="M111" s="89">
        <f>(' Pivot Table for Data Exchange'!$E$283)*100</f>
        <v>5.5159389635896661</v>
      </c>
      <c r="N111" s="89">
        <f>(' Pivot Table for Data Exchange'!$E$286)*100</f>
        <v>0</v>
      </c>
      <c r="O111" s="91">
        <f>(' Pivot Table for Data Exchange'!$E$289)*100</f>
        <v>0</v>
      </c>
      <c r="P111" s="89">
        <f>(' Pivot Table for Data Exchange'!$E$292)*100</f>
        <v>0</v>
      </c>
      <c r="Q111" s="23">
        <f t="shared" si="22"/>
        <v>100</v>
      </c>
      <c r="R111" s="23">
        <f t="shared" si="23"/>
        <v>100</v>
      </c>
      <c r="S111" s="31"/>
      <c r="U111" s="31"/>
      <c r="V111" s="31"/>
      <c r="W111" s="31"/>
      <c r="X111" s="31"/>
      <c r="Y111" s="31"/>
      <c r="Z111" s="31"/>
      <c r="AA111" s="31"/>
      <c r="AB111" s="31"/>
      <c r="AC111" s="31"/>
      <c r="AD111" s="31"/>
      <c r="AE111" s="31"/>
      <c r="AF111" s="31"/>
      <c r="AG111" s="31"/>
      <c r="AH111" s="31"/>
      <c r="AI111" s="31"/>
      <c r="AJ111" s="31"/>
      <c r="AK111" s="31"/>
      <c r="AL111" s="31"/>
      <c r="AM111" s="31"/>
      <c r="AN111" s="31"/>
      <c r="AO111" s="31"/>
    </row>
    <row r="112" spans="1:41" ht="11.25" customHeight="1">
      <c r="A112" s="24"/>
      <c r="B112" s="89"/>
      <c r="C112" s="89"/>
      <c r="D112" s="83"/>
      <c r="E112" s="89"/>
      <c r="F112" s="89"/>
      <c r="G112" s="91"/>
      <c r="H112" s="89"/>
      <c r="I112" s="24"/>
      <c r="J112" s="89"/>
      <c r="K112" s="89"/>
      <c r="L112" s="83"/>
      <c r="M112" s="89"/>
      <c r="N112" s="89"/>
      <c r="O112" s="91"/>
      <c r="P112" s="89"/>
      <c r="Q112" s="23">
        <f t="shared" si="22"/>
        <v>0</v>
      </c>
      <c r="R112" s="23">
        <f t="shared" si="23"/>
        <v>0</v>
      </c>
      <c r="S112" s="31"/>
      <c r="U112" s="31"/>
      <c r="V112" s="31"/>
      <c r="W112" s="31"/>
      <c r="X112" s="31"/>
      <c r="Y112" s="31"/>
      <c r="Z112" s="31"/>
      <c r="AA112" s="31"/>
      <c r="AB112" s="31"/>
      <c r="AC112" s="31"/>
      <c r="AD112" s="31"/>
      <c r="AE112" s="31"/>
      <c r="AF112" s="31"/>
      <c r="AG112" s="31"/>
      <c r="AH112" s="31"/>
      <c r="AI112" s="31"/>
      <c r="AJ112" s="31"/>
      <c r="AK112" s="31"/>
      <c r="AL112" s="31"/>
      <c r="AM112" s="31"/>
      <c r="AN112" s="31"/>
      <c r="AO112" s="31"/>
    </row>
    <row r="113" spans="1:41" ht="15.75" customHeight="1">
      <c r="A113" s="24" t="s">
        <v>204</v>
      </c>
      <c r="B113" s="89">
        <f>(' Pivot Table for Data Exchange'!$E$295)*100</f>
        <v>0</v>
      </c>
      <c r="C113" s="89">
        <f>(' Pivot Table for Data Exchange'!$E$298)*100</f>
        <v>0</v>
      </c>
      <c r="D113" s="83">
        <f>SUM(E113:G113)</f>
        <v>0</v>
      </c>
      <c r="E113" s="89">
        <f>(' Pivot Table for Data Exchange'!$E$301)*100</f>
        <v>0</v>
      </c>
      <c r="F113" s="89">
        <f>(' Pivot Table for Data Exchange'!$E$304)*100</f>
        <v>0</v>
      </c>
      <c r="G113" s="91">
        <f>(' Pivot Table for Data Exchange'!$E$307)*100</f>
        <v>0</v>
      </c>
      <c r="H113" s="89">
        <f>(' Pivot Table for Data Exchange'!$E$310)*100</f>
        <v>0</v>
      </c>
      <c r="I113" s="24" t="s">
        <v>204</v>
      </c>
      <c r="J113" s="89">
        <f>(' Pivot Table for Data Exchange'!$E$313)*100</f>
        <v>0</v>
      </c>
      <c r="K113" s="89">
        <f>(' Pivot Table for Data Exchange'!$E$316)*100</f>
        <v>0</v>
      </c>
      <c r="L113" s="83">
        <f>SUM(M113:O113)</f>
        <v>0</v>
      </c>
      <c r="M113" s="89">
        <f>(' Pivot Table for Data Exchange'!$E$319)*100</f>
        <v>0</v>
      </c>
      <c r="N113" s="89">
        <f>(' Pivot Table for Data Exchange'!$E$322)*100</f>
        <v>0</v>
      </c>
      <c r="O113" s="91">
        <f>(' Pivot Table for Data Exchange'!$E$325)*100</f>
        <v>0</v>
      </c>
      <c r="P113" s="89">
        <f>(' Pivot Table for Data Exchange'!$E$328)*100</f>
        <v>0</v>
      </c>
      <c r="Q113" s="23">
        <f t="shared" si="22"/>
        <v>0</v>
      </c>
      <c r="R113" s="23">
        <f t="shared" si="23"/>
        <v>0</v>
      </c>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row>
    <row r="114" spans="1:41" ht="15.75" customHeight="1">
      <c r="A114" s="24" t="s">
        <v>212</v>
      </c>
      <c r="B114" s="89">
        <f>(' Pivot Table for Data Exchange'!$E$331)*100</f>
        <v>91.347751460372848</v>
      </c>
      <c r="C114" s="89">
        <f>(' Pivot Table for Data Exchange'!$E$334)*100</f>
        <v>1.8897298418228015</v>
      </c>
      <c r="D114" s="83">
        <f>SUM(E114:G114)</f>
        <v>6.762518697804345</v>
      </c>
      <c r="E114" s="89">
        <f>(' Pivot Table for Data Exchange'!$E$337)*100</f>
        <v>6.7515401704822979</v>
      </c>
      <c r="F114" s="156">
        <f>(' Pivot Table for Data Exchange'!$E$340)*100</f>
        <v>1.0978527322047476E-2</v>
      </c>
      <c r="G114" s="91">
        <f>(' Pivot Table for Data Exchange'!$E$343)*100</f>
        <v>0</v>
      </c>
      <c r="H114" s="89">
        <f>(' Pivot Table for Data Exchange'!$E$346)*100</f>
        <v>0</v>
      </c>
      <c r="I114" s="24" t="s">
        <v>212</v>
      </c>
      <c r="J114" s="89">
        <f>(' Pivot Table for Data Exchange'!$E$349)*100</f>
        <v>57.740410485048812</v>
      </c>
      <c r="K114" s="89">
        <f>(' Pivot Table for Data Exchange'!$E$352)*100</f>
        <v>14.395418556384044</v>
      </c>
      <c r="L114" s="83">
        <f>SUM(M114:O114)</f>
        <v>27.864170958567147</v>
      </c>
      <c r="M114" s="89">
        <f>(' Pivot Table for Data Exchange'!$E$355)*100</f>
        <v>27.782304558382659</v>
      </c>
      <c r="N114" s="89">
        <f>(' Pivot Table for Data Exchange'!$E$358)*100</f>
        <v>8.1866400184487667E-2</v>
      </c>
      <c r="O114" s="91">
        <f>(' Pivot Table for Data Exchange'!$E$361)*100</f>
        <v>0</v>
      </c>
      <c r="P114" s="89">
        <f>(' Pivot Table for Data Exchange'!$E$364)*100</f>
        <v>0</v>
      </c>
      <c r="Q114" s="23">
        <f t="shared" si="22"/>
        <v>99.999999999999986</v>
      </c>
      <c r="R114" s="23">
        <f t="shared" si="23"/>
        <v>100</v>
      </c>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row>
    <row r="115" spans="1:41" ht="15.75" customHeight="1">
      <c r="A115" s="24" t="s">
        <v>205</v>
      </c>
      <c r="B115" s="89">
        <f>(' Pivot Table for Data Exchange'!$E$367)*100</f>
        <v>93.386618664214367</v>
      </c>
      <c r="C115" s="89">
        <f>(' Pivot Table for Data Exchange'!$E$370)*100</f>
        <v>0.54257119657199882</v>
      </c>
      <c r="D115" s="83">
        <f>SUM(E115:G115)</f>
        <v>6.0708101392136333</v>
      </c>
      <c r="E115" s="89">
        <f>(' Pivot Table for Data Exchange'!$E$373)*100</f>
        <v>5.1314360624944966</v>
      </c>
      <c r="F115" s="89">
        <f>(' Pivot Table for Data Exchange'!$E$376)*100</f>
        <v>0.27412269974661752</v>
      </c>
      <c r="G115" s="91">
        <f>(' Pivot Table for Data Exchange'!$E$379)*100</f>
        <v>0.66525137697251924</v>
      </c>
      <c r="H115" s="89">
        <f>(' Pivot Table for Data Exchange'!$E$382)*100</f>
        <v>0</v>
      </c>
      <c r="I115" s="24" t="s">
        <v>205</v>
      </c>
      <c r="J115" s="89">
        <f>(' Pivot Table for Data Exchange'!$E$385)*100</f>
        <v>86.836857847510089</v>
      </c>
      <c r="K115" s="89">
        <f>(' Pivot Table for Data Exchange'!$E$388)*100</f>
        <v>1.6214514351681797</v>
      </c>
      <c r="L115" s="83">
        <f>SUM(M115:O115)</f>
        <v>11.541690717321719</v>
      </c>
      <c r="M115" s="89">
        <f>(' Pivot Table for Data Exchange'!$E$391)*100</f>
        <v>6.3651151807734685</v>
      </c>
      <c r="N115" s="89">
        <f>(' Pivot Table for Data Exchange'!$E$394)*100</f>
        <v>1.5611061552185548</v>
      </c>
      <c r="O115" s="91">
        <f>(' Pivot Table for Data Exchange'!$E$397)*100</f>
        <v>3.6154693813296954</v>
      </c>
      <c r="P115" s="89">
        <f>(' Pivot Table for Data Exchange'!$E$400)*100</f>
        <v>0</v>
      </c>
      <c r="Q115" s="23">
        <f t="shared" si="22"/>
        <v>100</v>
      </c>
      <c r="R115" s="23">
        <f t="shared" si="23"/>
        <v>99.999999999999986</v>
      </c>
      <c r="S115" s="31"/>
      <c r="T115" s="40"/>
      <c r="U115" s="31"/>
      <c r="V115" s="31"/>
      <c r="W115" s="31"/>
      <c r="X115" s="31"/>
      <c r="Y115" s="31"/>
      <c r="Z115" s="31"/>
      <c r="AA115" s="31"/>
      <c r="AB115" s="31"/>
      <c r="AC115" s="31"/>
      <c r="AD115" s="31"/>
      <c r="AE115" s="31"/>
      <c r="AF115" s="31"/>
      <c r="AG115" s="31"/>
      <c r="AH115" s="31"/>
      <c r="AI115" s="31"/>
      <c r="AJ115" s="31"/>
      <c r="AK115" s="31"/>
      <c r="AL115" s="31"/>
      <c r="AM115" s="31"/>
      <c r="AN115" s="31"/>
      <c r="AO115" s="31"/>
    </row>
    <row r="116" spans="1:41" ht="15.75" customHeight="1">
      <c r="A116" s="24" t="s">
        <v>228</v>
      </c>
      <c r="B116" s="89">
        <f>(' Pivot Table for Data Exchange'!$E$403)*100</f>
        <v>99.72640761763364</v>
      </c>
      <c r="C116" s="89">
        <f>(' Pivot Table for Data Exchange'!$E$406)*100</f>
        <v>0.27359238236636402</v>
      </c>
      <c r="D116" s="83">
        <f>SUM(E116:G116)</f>
        <v>0</v>
      </c>
      <c r="E116" s="89">
        <f>(' Pivot Table for Data Exchange'!$E$409)*100</f>
        <v>0</v>
      </c>
      <c r="F116" s="89">
        <f>(' Pivot Table for Data Exchange'!$E$412)*100</f>
        <v>0</v>
      </c>
      <c r="G116" s="91">
        <f>(' Pivot Table for Data Exchange'!$E$415)*100</f>
        <v>0</v>
      </c>
      <c r="H116" s="89">
        <f>(' Pivot Table for Data Exchange'!$E$418)*100</f>
        <v>0</v>
      </c>
      <c r="I116" s="24" t="s">
        <v>228</v>
      </c>
      <c r="J116" s="89">
        <f>(' Pivot Table for Data Exchange'!$E$421)*100</f>
        <v>68.592291860497895</v>
      </c>
      <c r="K116" s="89">
        <f>(' Pivot Table for Data Exchange'!$E$424)*100</f>
        <v>30.595731483830953</v>
      </c>
      <c r="L116" s="83">
        <f>SUM(M116:O116)</f>
        <v>0.81197665567114952</v>
      </c>
      <c r="M116" s="89">
        <f>(' Pivot Table for Data Exchange'!$E$427)*100</f>
        <v>0.81197665567114952</v>
      </c>
      <c r="N116" s="89">
        <f>(' Pivot Table for Data Exchange'!$E$430)*100</f>
        <v>0</v>
      </c>
      <c r="O116" s="91">
        <f>(' Pivot Table for Data Exchange'!$E$433)*100</f>
        <v>0</v>
      </c>
      <c r="P116" s="89">
        <f>(' Pivot Table for Data Exchange'!$E$436)*100</f>
        <v>0</v>
      </c>
      <c r="Q116" s="23">
        <f t="shared" si="22"/>
        <v>100</v>
      </c>
      <c r="R116" s="23">
        <f t="shared" si="23"/>
        <v>100</v>
      </c>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row>
    <row r="117" spans="1:41" ht="11.25" customHeight="1">
      <c r="A117" s="24"/>
      <c r="B117" s="89"/>
      <c r="C117" s="89"/>
      <c r="D117" s="83"/>
      <c r="E117" s="89"/>
      <c r="F117" s="89"/>
      <c r="G117" s="91"/>
      <c r="H117" s="89"/>
      <c r="I117" s="24"/>
      <c r="J117" s="89"/>
      <c r="K117" s="89"/>
      <c r="L117" s="83"/>
      <c r="M117" s="89"/>
      <c r="N117" s="89"/>
      <c r="O117" s="91"/>
      <c r="P117" s="89"/>
      <c r="Q117" s="23">
        <f t="shared" si="22"/>
        <v>0</v>
      </c>
      <c r="R117" s="23">
        <f t="shared" si="23"/>
        <v>0</v>
      </c>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row>
    <row r="118" spans="1:41" ht="15.75" customHeight="1">
      <c r="A118" s="24" t="s">
        <v>229</v>
      </c>
      <c r="B118" s="89">
        <f>(' Pivot Table for Data Exchange'!$E$439)*100</f>
        <v>87.524210836425624</v>
      </c>
      <c r="C118" s="89">
        <f>(' Pivot Table for Data Exchange'!$E$442)*100</f>
        <v>2.2863961739043224</v>
      </c>
      <c r="D118" s="83">
        <f>SUM(E118:G118)</f>
        <v>9.5856107712365866</v>
      </c>
      <c r="E118" s="89">
        <f>(' Pivot Table for Data Exchange'!$E$445)*100</f>
        <v>5.3046020960786286</v>
      </c>
      <c r="F118" s="89">
        <f>(' Pivot Table for Data Exchange'!$E$448)*100</f>
        <v>1.1337566442683782</v>
      </c>
      <c r="G118" s="91">
        <f>(' Pivot Table for Data Exchange'!$E$451)*100</f>
        <v>3.1472520308895793</v>
      </c>
      <c r="H118" s="89">
        <f>(' Pivot Table for Data Exchange'!$E$454)*100</f>
        <v>0.60378221843345703</v>
      </c>
      <c r="I118" s="24" t="s">
        <v>229</v>
      </c>
      <c r="J118" s="89">
        <f>(' Pivot Table for Data Exchange'!$E$457)*100</f>
        <v>70.001473730749396</v>
      </c>
      <c r="K118" s="89">
        <f>(' Pivot Table for Data Exchange'!$E$460)*100</f>
        <v>7.8608798172573868</v>
      </c>
      <c r="L118" s="83">
        <f>SUM(M118:O118)</f>
        <v>15.176479257239702</v>
      </c>
      <c r="M118" s="89">
        <f>(' Pivot Table for Data Exchange'!$E$463)*100</f>
        <v>12.800088423844963</v>
      </c>
      <c r="N118" s="89">
        <f>(' Pivot Table for Data Exchange'!$E$466)*100</f>
        <v>0.5887554343821384</v>
      </c>
      <c r="O118" s="91">
        <f>(' Pivot Table for Data Exchange'!$E$469)*100</f>
        <v>1.7876353990126004</v>
      </c>
      <c r="P118" s="89">
        <f>(' Pivot Table for Data Exchange'!$E$472)*100</f>
        <v>6.9611671947535187</v>
      </c>
      <c r="Q118" s="23">
        <f t="shared" si="22"/>
        <v>99.999999999999986</v>
      </c>
      <c r="R118" s="23">
        <f t="shared" si="23"/>
        <v>100</v>
      </c>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row>
    <row r="119" spans="1:41" ht="15.75" customHeight="1">
      <c r="A119" s="24" t="s">
        <v>213</v>
      </c>
      <c r="B119" s="89">
        <f>(' Pivot Table for Data Exchange'!$E$475)*100</f>
        <v>92.259344588172851</v>
      </c>
      <c r="C119" s="89">
        <f>(' Pivot Table for Data Exchange'!$E$478)*100</f>
        <v>3.3986742803033758</v>
      </c>
      <c r="D119" s="83">
        <f>SUM(E119:G119)</f>
        <v>4.3419811315237729</v>
      </c>
      <c r="E119" s="89">
        <f>(' Pivot Table for Data Exchange'!$E$481)*100</f>
        <v>3.8776728021612361</v>
      </c>
      <c r="F119" s="89">
        <f>(' Pivot Table for Data Exchange'!$E$484)*100</f>
        <v>0.44505669174525803</v>
      </c>
      <c r="G119" s="159">
        <f>(' Pivot Table for Data Exchange'!$E$487)*100</f>
        <v>1.9251637617278848E-2</v>
      </c>
      <c r="H119" s="89">
        <f>(' Pivot Table for Data Exchange'!$E$490)*100</f>
        <v>0</v>
      </c>
      <c r="I119" s="24" t="s">
        <v>213</v>
      </c>
      <c r="J119" s="89">
        <f>(' Pivot Table for Data Exchange'!$E$493)*100</f>
        <v>63.174161909744733</v>
      </c>
      <c r="K119" s="89">
        <f>(' Pivot Table for Data Exchange'!$E$496)*100</f>
        <v>11.907323967858567</v>
      </c>
      <c r="L119" s="83">
        <f>SUM(M119:O119)</f>
        <v>24.918514122396708</v>
      </c>
      <c r="M119" s="89">
        <f>(' Pivot Table for Data Exchange'!$E$499)*100</f>
        <v>15.592187975854879</v>
      </c>
      <c r="N119" s="89">
        <f>(' Pivot Table for Data Exchange'!$E$502)*100</f>
        <v>0.91848288679436829</v>
      </c>
      <c r="O119" s="91">
        <f>(' Pivot Table for Data Exchange'!$E$505)*100</f>
        <v>8.4078432597474606</v>
      </c>
      <c r="P119" s="89">
        <f>(' Pivot Table for Data Exchange'!$E$508)*100</f>
        <v>0</v>
      </c>
      <c r="Q119" s="23">
        <f t="shared" si="22"/>
        <v>100</v>
      </c>
      <c r="R119" s="23">
        <f t="shared" si="23"/>
        <v>100</v>
      </c>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row>
    <row r="120" spans="1:41" ht="15.75" customHeight="1">
      <c r="A120" s="24" t="s">
        <v>230</v>
      </c>
      <c r="B120" s="89">
        <f>(' Pivot Table for Data Exchange'!$E$511)*100</f>
        <v>0</v>
      </c>
      <c r="C120" s="89">
        <f>(' Pivot Table for Data Exchange'!$E$514)*100</f>
        <v>0</v>
      </c>
      <c r="D120" s="83">
        <f>SUM(E120:G120)</f>
        <v>0</v>
      </c>
      <c r="E120" s="89">
        <f>(' Pivot Table for Data Exchange'!$E$517)*100</f>
        <v>0</v>
      </c>
      <c r="F120" s="89">
        <f>(' Pivot Table for Data Exchange'!$E$520)*100</f>
        <v>0</v>
      </c>
      <c r="G120" s="91">
        <f>(' Pivot Table for Data Exchange'!$E$523)*100</f>
        <v>0</v>
      </c>
      <c r="H120" s="89">
        <f>(' Pivot Table for Data Exchange'!$E$526)*100</f>
        <v>0</v>
      </c>
      <c r="I120" s="24" t="s">
        <v>230</v>
      </c>
      <c r="J120" s="89">
        <f>(' Pivot Table for Data Exchange'!$E$529)*100</f>
        <v>0</v>
      </c>
      <c r="K120" s="89">
        <f>(' Pivot Table for Data Exchange'!$E$532)*100</f>
        <v>0</v>
      </c>
      <c r="L120" s="83">
        <f>SUM(M120:O120)</f>
        <v>0</v>
      </c>
      <c r="M120" s="89">
        <f>(' Pivot Table for Data Exchange'!$E$535)*100</f>
        <v>0</v>
      </c>
      <c r="N120" s="89">
        <f>(' Pivot Table for Data Exchange'!$E$538)*100</f>
        <v>0</v>
      </c>
      <c r="O120" s="91">
        <f>(' Pivot Table for Data Exchange'!$E$541)*100</f>
        <v>0</v>
      </c>
      <c r="P120" s="89">
        <f>(' Pivot Table for Data Exchange'!$E$544)*100</f>
        <v>0</v>
      </c>
      <c r="Q120" s="23">
        <f t="shared" si="22"/>
        <v>0</v>
      </c>
      <c r="R120" s="23">
        <f t="shared" si="23"/>
        <v>0</v>
      </c>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row>
    <row r="121" spans="1:41" ht="15.75" customHeight="1">
      <c r="A121" s="18" t="s">
        <v>206</v>
      </c>
      <c r="B121" s="92">
        <f>(' Pivot Table for Data Exchange'!$E$547)*100</f>
        <v>83.339798600335669</v>
      </c>
      <c r="C121" s="92">
        <f>(' Pivot Table for Data Exchange'!$E$550)*100</f>
        <v>4.8263877893536842</v>
      </c>
      <c r="D121" s="84">
        <f>SUM(E121:G121)</f>
        <v>11.833813610310649</v>
      </c>
      <c r="E121" s="92">
        <f>(' Pivot Table for Data Exchange'!$E$553)*100</f>
        <v>11.806501155831407</v>
      </c>
      <c r="F121" s="157">
        <f>(' Pivot Table for Data Exchange'!$E$556)*100</f>
        <v>2.7312454479242534E-2</v>
      </c>
      <c r="G121" s="93">
        <f>(' Pivot Table for Data Exchange'!$E$559)*100</f>
        <v>0</v>
      </c>
      <c r="H121" s="92">
        <f>(' Pivot Table for Data Exchange'!$E$562)*100</f>
        <v>0</v>
      </c>
      <c r="I121" s="18" t="s">
        <v>206</v>
      </c>
      <c r="J121" s="92">
        <f>(' Pivot Table for Data Exchange'!$E$565)*100</f>
        <v>33.430651799219106</v>
      </c>
      <c r="K121" s="92">
        <f>(' Pivot Table for Data Exchange'!$E$568)*100</f>
        <v>42.906890850891692</v>
      </c>
      <c r="L121" s="84">
        <f>SUM(M121:O121)</f>
        <v>23.662457349889198</v>
      </c>
      <c r="M121" s="92">
        <f>(' Pivot Table for Data Exchange'!$E$571)*100</f>
        <v>21.488620774561188</v>
      </c>
      <c r="N121" s="92">
        <f>(' Pivot Table for Data Exchange'!$E$574)*100</f>
        <v>2.1738365753280102</v>
      </c>
      <c r="O121" s="93">
        <f>(' Pivot Table for Data Exchange'!$E$577)*100</f>
        <v>0</v>
      </c>
      <c r="P121" s="92">
        <f>(' Pivot Table for Data Exchange'!$E$580)*100</f>
        <v>0</v>
      </c>
      <c r="Q121" s="23">
        <f t="shared" si="22"/>
        <v>100</v>
      </c>
      <c r="R121" s="23">
        <f t="shared" si="23"/>
        <v>100</v>
      </c>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row>
    <row r="122" spans="1:41" s="45" customFormat="1" ht="18" customHeight="1">
      <c r="A122" s="85" t="s">
        <v>35</v>
      </c>
      <c r="B122" s="49"/>
      <c r="C122" s="49"/>
      <c r="D122" s="50"/>
      <c r="E122" s="49"/>
      <c r="F122" s="50"/>
      <c r="G122" s="50"/>
      <c r="H122" s="49"/>
      <c r="I122" s="85" t="s">
        <v>35</v>
      </c>
      <c r="J122" s="49"/>
      <c r="K122" s="49"/>
      <c r="L122" s="50"/>
      <c r="M122" s="49"/>
      <c r="N122" s="50"/>
      <c r="O122" s="50"/>
      <c r="P122" s="49"/>
      <c r="Q122" s="23">
        <f t="shared" si="22"/>
        <v>0</v>
      </c>
      <c r="R122" s="23">
        <f t="shared" si="23"/>
        <v>0</v>
      </c>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row>
    <row r="123" spans="1:41" s="45" customFormat="1" ht="28.5" customHeight="1">
      <c r="A123" s="601" t="s">
        <v>897</v>
      </c>
      <c r="B123" s="602"/>
      <c r="C123" s="602"/>
      <c r="D123" s="602"/>
      <c r="E123" s="602"/>
      <c r="F123" s="602"/>
      <c r="G123" s="602"/>
      <c r="H123" s="602"/>
      <c r="I123" s="601" t="s">
        <v>897</v>
      </c>
      <c r="J123" s="602"/>
      <c r="K123" s="602"/>
      <c r="L123" s="602"/>
      <c r="M123" s="602"/>
      <c r="N123" s="602"/>
      <c r="O123" s="602"/>
      <c r="P123" s="602"/>
      <c r="Q123" s="23">
        <f t="shared" si="22"/>
        <v>0</v>
      </c>
      <c r="R123" s="23">
        <f t="shared" si="23"/>
        <v>0</v>
      </c>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row>
    <row r="124" spans="1:41" s="45" customFormat="1" ht="13.5" customHeight="1">
      <c r="A124" s="86"/>
      <c r="B124" s="44"/>
      <c r="H124" s="43"/>
      <c r="I124" s="86"/>
      <c r="P124" s="46"/>
      <c r="Q124" s="23">
        <f t="shared" si="22"/>
        <v>0</v>
      </c>
      <c r="R124" s="23">
        <f t="shared" si="23"/>
        <v>0</v>
      </c>
    </row>
    <row r="125" spans="1:41" s="45" customFormat="1" ht="13.5" customHeight="1">
      <c r="H125" s="572" t="s">
        <v>889</v>
      </c>
      <c r="I125" s="86"/>
      <c r="P125" s="572" t="s">
        <v>889</v>
      </c>
      <c r="Q125" s="23">
        <f t="shared" si="22"/>
        <v>0</v>
      </c>
      <c r="R125" s="23">
        <f t="shared" si="23"/>
        <v>0</v>
      </c>
    </row>
    <row r="126" spans="1:41" ht="18">
      <c r="A126" s="15" t="s">
        <v>3</v>
      </c>
      <c r="B126" s="16"/>
      <c r="C126" s="16"/>
      <c r="D126" s="16"/>
      <c r="E126" s="16"/>
      <c r="F126" s="16"/>
      <c r="G126" s="16"/>
      <c r="H126" s="30"/>
      <c r="I126" s="15" t="s">
        <v>18</v>
      </c>
      <c r="J126" s="17"/>
      <c r="K126" s="17"/>
      <c r="L126" s="16"/>
      <c r="M126" s="17"/>
      <c r="N126" s="17"/>
      <c r="O126" s="17"/>
      <c r="P126" s="17"/>
      <c r="Q126" s="23">
        <f t="shared" si="22"/>
        <v>0</v>
      </c>
      <c r="R126" s="23">
        <f t="shared" si="23"/>
        <v>0</v>
      </c>
    </row>
    <row r="127" spans="1:41">
      <c r="A127" s="58"/>
      <c r="B127" s="17"/>
      <c r="C127" s="17"/>
      <c r="D127" s="17"/>
      <c r="E127" s="17"/>
      <c r="F127" s="17"/>
      <c r="G127" s="17"/>
      <c r="H127" s="27"/>
      <c r="I127" s="58"/>
      <c r="J127" s="17"/>
      <c r="K127" s="17"/>
      <c r="L127" s="17"/>
      <c r="M127" s="17"/>
      <c r="N127" s="17"/>
      <c r="O127" s="17"/>
      <c r="P127" s="17"/>
      <c r="Q127" s="23">
        <f t="shared" si="22"/>
        <v>0</v>
      </c>
      <c r="R127" s="23">
        <f t="shared" si="23"/>
        <v>0</v>
      </c>
    </row>
    <row r="128" spans="1:41" ht="15.75">
      <c r="A128" s="26" t="s">
        <v>23</v>
      </c>
      <c r="B128" s="17"/>
      <c r="C128" s="17"/>
      <c r="D128" s="17"/>
      <c r="E128" s="17"/>
      <c r="F128" s="17"/>
      <c r="G128" s="17"/>
      <c r="H128" s="27"/>
      <c r="I128" s="26" t="s">
        <v>24</v>
      </c>
      <c r="J128" s="17"/>
      <c r="K128" s="17"/>
      <c r="L128" s="17"/>
      <c r="M128" s="17"/>
      <c r="N128" s="17"/>
      <c r="O128" s="17"/>
      <c r="P128" s="17"/>
      <c r="Q128" s="23">
        <f t="shared" si="22"/>
        <v>0</v>
      </c>
      <c r="R128" s="23">
        <f t="shared" si="23"/>
        <v>0</v>
      </c>
    </row>
    <row r="129" spans="1:41" ht="15.75">
      <c r="A129" s="26" t="s">
        <v>756</v>
      </c>
      <c r="B129" s="17"/>
      <c r="C129" s="17"/>
      <c r="D129" s="17"/>
      <c r="E129" s="17"/>
      <c r="F129" s="17"/>
      <c r="G129" s="17"/>
      <c r="H129" s="27"/>
      <c r="I129" s="26" t="s">
        <v>756</v>
      </c>
      <c r="J129" s="17"/>
      <c r="K129" s="17"/>
      <c r="L129" s="17"/>
      <c r="M129" s="17"/>
      <c r="N129" s="17"/>
      <c r="O129" s="17"/>
      <c r="P129" s="17"/>
      <c r="Q129" s="23">
        <f t="shared" si="22"/>
        <v>0</v>
      </c>
      <c r="R129" s="23">
        <f t="shared" si="23"/>
        <v>0</v>
      </c>
    </row>
    <row r="130" spans="1:41">
      <c r="A130" s="18"/>
      <c r="B130" s="19"/>
      <c r="C130" s="19"/>
      <c r="D130" s="19"/>
      <c r="E130" s="19"/>
      <c r="F130" s="19"/>
      <c r="G130" s="19"/>
      <c r="H130" s="19"/>
      <c r="I130" s="20"/>
      <c r="L130" s="21"/>
      <c r="P130" s="18"/>
      <c r="Q130" s="23">
        <f t="shared" si="22"/>
        <v>0</v>
      </c>
      <c r="R130" s="23">
        <f t="shared" si="23"/>
        <v>0</v>
      </c>
    </row>
    <row r="131" spans="1:41" s="67" customFormat="1">
      <c r="A131" s="63"/>
      <c r="B131" s="64" t="s">
        <v>215</v>
      </c>
      <c r="C131" s="64"/>
      <c r="D131" s="64"/>
      <c r="E131" s="64"/>
      <c r="F131" s="64"/>
      <c r="G131" s="64"/>
      <c r="H131" s="65"/>
      <c r="I131" s="63"/>
      <c r="J131" s="64" t="s">
        <v>215</v>
      </c>
      <c r="K131" s="64"/>
      <c r="L131" s="64"/>
      <c r="M131" s="64"/>
      <c r="N131" s="64"/>
      <c r="O131" s="64"/>
      <c r="P131" s="65"/>
      <c r="Q131" s="23">
        <f t="shared" si="22"/>
        <v>0</v>
      </c>
      <c r="R131" s="23">
        <f t="shared" si="23"/>
        <v>0</v>
      </c>
    </row>
    <row r="132" spans="1:41" s="67" customFormat="1">
      <c r="A132" s="63"/>
      <c r="B132" s="64" t="s">
        <v>209</v>
      </c>
      <c r="C132" s="64"/>
      <c r="D132" s="597" t="s">
        <v>30</v>
      </c>
      <c r="E132" s="598"/>
      <c r="F132" s="598"/>
      <c r="G132" s="598"/>
      <c r="H132" s="68" t="s">
        <v>196</v>
      </c>
      <c r="I132" s="63"/>
      <c r="J132" s="64" t="s">
        <v>209</v>
      </c>
      <c r="K132" s="64"/>
      <c r="L132" s="597" t="s">
        <v>30</v>
      </c>
      <c r="M132" s="598"/>
      <c r="N132" s="598"/>
      <c r="O132" s="598"/>
      <c r="P132" s="68" t="s">
        <v>196</v>
      </c>
      <c r="Q132" s="23">
        <f t="shared" si="22"/>
        <v>0</v>
      </c>
      <c r="R132" s="23">
        <f t="shared" si="23"/>
        <v>0</v>
      </c>
    </row>
    <row r="133" spans="1:41" s="67" customFormat="1" ht="40.5" customHeight="1">
      <c r="A133" s="63"/>
      <c r="B133" s="69" t="s">
        <v>22</v>
      </c>
      <c r="C133" s="70" t="s">
        <v>21</v>
      </c>
      <c r="D133" s="71" t="s">
        <v>28</v>
      </c>
      <c r="E133" s="72" t="s">
        <v>195</v>
      </c>
      <c r="F133" s="69" t="s">
        <v>210</v>
      </c>
      <c r="G133" s="73" t="s">
        <v>32</v>
      </c>
      <c r="H133" s="74" t="s">
        <v>31</v>
      </c>
      <c r="I133" s="63"/>
      <c r="J133" s="69" t="s">
        <v>22</v>
      </c>
      <c r="K133" s="70" t="s">
        <v>21</v>
      </c>
      <c r="L133" s="71" t="s">
        <v>28</v>
      </c>
      <c r="M133" s="72" t="s">
        <v>195</v>
      </c>
      <c r="N133" s="69" t="s">
        <v>210</v>
      </c>
      <c r="O133" s="73" t="s">
        <v>32</v>
      </c>
      <c r="P133" s="74" t="s">
        <v>31</v>
      </c>
      <c r="Q133" s="23">
        <f t="shared" si="22"/>
        <v>0</v>
      </c>
      <c r="R133" s="23">
        <f t="shared" si="23"/>
        <v>0</v>
      </c>
      <c r="T133" s="75"/>
    </row>
    <row r="134" spans="1:41" ht="15.75" customHeight="1">
      <c r="A134" s="25" t="s">
        <v>220</v>
      </c>
      <c r="B134" s="89">
        <f>(' Pivot Table for Data Exchange'!$F$7)*100</f>
        <v>93.871820486827858</v>
      </c>
      <c r="C134" s="89">
        <f>(' Pivot Table for Data Exchange'!$F$10)*100</f>
        <v>0.48844784039782729</v>
      </c>
      <c r="D134" s="83">
        <f>SUM(E134:G134)</f>
        <v>5.6397316727743094</v>
      </c>
      <c r="E134" s="89">
        <f>(' Pivot Table for Data Exchange'!$F$13)*100</f>
        <v>5.6397316727743094</v>
      </c>
      <c r="F134" s="89">
        <f>(' Pivot Table for Data Exchange'!$F$16)*100</f>
        <v>0</v>
      </c>
      <c r="G134" s="90">
        <f>(' Pivot Table for Data Exchange'!$F$19)*100</f>
        <v>0</v>
      </c>
      <c r="H134" s="89">
        <f>(' Pivot Table for Data Exchange'!$F$22)*100</f>
        <v>0</v>
      </c>
      <c r="I134" s="25" t="s">
        <v>220</v>
      </c>
      <c r="J134" s="89">
        <f>(' Pivot Table for Data Exchange'!$F$25)*100</f>
        <v>77.799988894441668</v>
      </c>
      <c r="K134" s="89">
        <f>(' Pivot Table for Data Exchange'!$F$28)*100</f>
        <v>4.142373257815537</v>
      </c>
      <c r="L134" s="83">
        <f>SUM(M134:O134)</f>
        <v>18.057637847742797</v>
      </c>
      <c r="M134" s="89">
        <f>(' Pivot Table for Data Exchange'!$F$31)*100</f>
        <v>17.580098839469155</v>
      </c>
      <c r="N134" s="89">
        <f>(' Pivot Table for Data Exchange'!$F$34)*100</f>
        <v>0.47753900827364099</v>
      </c>
      <c r="O134" s="90">
        <f>(' Pivot Table for Data Exchange'!$F$37)*100</f>
        <v>0</v>
      </c>
      <c r="P134" s="89">
        <f>(' Pivot Table for Data Exchange'!$F$40)*100</f>
        <v>0</v>
      </c>
      <c r="Q134" s="23">
        <f t="shared" si="22"/>
        <v>99.999999999999986</v>
      </c>
      <c r="R134" s="23">
        <f t="shared" si="23"/>
        <v>100</v>
      </c>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row>
    <row r="135" spans="1:41" ht="15.75" customHeight="1">
      <c r="A135" s="24" t="s">
        <v>221</v>
      </c>
      <c r="B135" s="89">
        <f>(' Pivot Table for Data Exchange'!$F$43)*100</f>
        <v>83.966279377004</v>
      </c>
      <c r="C135" s="89">
        <f>(' Pivot Table for Data Exchange'!$F$46)*100</f>
        <v>6.4756164618339964</v>
      </c>
      <c r="D135" s="83">
        <f>SUM(E135:G135)</f>
        <v>9.5581041611620119</v>
      </c>
      <c r="E135" s="89">
        <f>(' Pivot Table for Data Exchange'!$F$49)*100</f>
        <v>9.4292059728778224</v>
      </c>
      <c r="F135" s="156">
        <f>(' Pivot Table for Data Exchange'!$F$52)*100</f>
        <v>1.3925289039012233E-2</v>
      </c>
      <c r="G135" s="91">
        <f>(' Pivot Table for Data Exchange'!$F$55)*100</f>
        <v>0.11497289924517792</v>
      </c>
      <c r="H135" s="89">
        <f>(' Pivot Table for Data Exchange'!$F$58)*100</f>
        <v>0</v>
      </c>
      <c r="I135" s="24" t="s">
        <v>221</v>
      </c>
      <c r="J135" s="89">
        <f>(' Pivot Table for Data Exchange'!$F$61)*100</f>
        <v>69.519226187639973</v>
      </c>
      <c r="K135" s="89">
        <f>(' Pivot Table for Data Exchange'!$F$64)*100</f>
        <v>18.75446705103159</v>
      </c>
      <c r="L135" s="83">
        <f>SUM(M135:O135)</f>
        <v>11.726306761328441</v>
      </c>
      <c r="M135" s="89">
        <f>(' Pivot Table for Data Exchange'!$F$67)*100</f>
        <v>11.526182875113165</v>
      </c>
      <c r="N135" s="89">
        <f>(' Pivot Table for Data Exchange'!$F$70)*100</f>
        <v>0.11435650640872921</v>
      </c>
      <c r="O135" s="91">
        <f>(' Pivot Table for Data Exchange'!$F$73)*100</f>
        <v>8.5767379806546903E-2</v>
      </c>
      <c r="P135" s="89">
        <f>(' Pivot Table for Data Exchange'!$F$76)*100</f>
        <v>0</v>
      </c>
      <c r="Q135" s="23">
        <f t="shared" si="22"/>
        <v>100</v>
      </c>
      <c r="R135" s="23">
        <f t="shared" si="23"/>
        <v>100.00000000000001</v>
      </c>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row>
    <row r="136" spans="1:41" ht="15.75" customHeight="1">
      <c r="A136" s="24" t="s">
        <v>222</v>
      </c>
      <c r="B136" s="89">
        <f>(' Pivot Table for Data Exchange'!$F$79)*100</f>
        <v>99.456426079123645</v>
      </c>
      <c r="C136" s="89">
        <f>(' Pivot Table for Data Exchange'!$F$82)*100</f>
        <v>0</v>
      </c>
      <c r="D136" s="83">
        <f>SUM(E136:G136)</f>
        <v>0.54357392087634471</v>
      </c>
      <c r="E136" s="89">
        <f>(' Pivot Table for Data Exchange'!$F$85)*100</f>
        <v>0.54357392087634471</v>
      </c>
      <c r="F136" s="89">
        <f>(' Pivot Table for Data Exchange'!$F$88)*100</f>
        <v>0</v>
      </c>
      <c r="G136" s="91">
        <f>(' Pivot Table for Data Exchange'!$F$91)*100</f>
        <v>0</v>
      </c>
      <c r="H136" s="89">
        <f>(' Pivot Table for Data Exchange'!$F$94)*100</f>
        <v>0</v>
      </c>
      <c r="I136" s="24" t="s">
        <v>222</v>
      </c>
      <c r="J136" s="89">
        <f>(' Pivot Table for Data Exchange'!$F$97)*100</f>
        <v>97.879858657243815</v>
      </c>
      <c r="K136" s="89">
        <f>(' Pivot Table for Data Exchange'!$F$100)*100</f>
        <v>0</v>
      </c>
      <c r="L136" s="83">
        <f>SUM(M136:O136)</f>
        <v>2.1201413427561837</v>
      </c>
      <c r="M136" s="89">
        <f>(' Pivot Table for Data Exchange'!$F$103)*100</f>
        <v>2.1201413427561837</v>
      </c>
      <c r="N136" s="89">
        <f>(' Pivot Table for Data Exchange'!$F$106)*100</f>
        <v>0</v>
      </c>
      <c r="O136" s="91">
        <f>(' Pivot Table for Data Exchange'!$F$109)*100</f>
        <v>0</v>
      </c>
      <c r="P136" s="89">
        <f>(' Pivot Table for Data Exchange'!$F$112)*100</f>
        <v>0</v>
      </c>
      <c r="Q136" s="23">
        <f t="shared" si="22"/>
        <v>99.999999999999986</v>
      </c>
      <c r="R136" s="23">
        <f t="shared" si="23"/>
        <v>100</v>
      </c>
      <c r="S136" s="31"/>
      <c r="T136" s="40"/>
      <c r="U136" s="31"/>
      <c r="V136" s="31"/>
      <c r="W136" s="31"/>
      <c r="X136" s="31"/>
      <c r="Y136" s="31"/>
      <c r="Z136" s="31"/>
      <c r="AA136" s="31"/>
      <c r="AB136" s="31"/>
      <c r="AC136" s="31"/>
      <c r="AD136" s="31"/>
      <c r="AE136" s="31"/>
      <c r="AF136" s="31"/>
      <c r="AG136" s="31"/>
      <c r="AH136" s="31"/>
      <c r="AI136" s="31"/>
      <c r="AJ136" s="31"/>
      <c r="AK136" s="31"/>
      <c r="AL136" s="31"/>
      <c r="AM136" s="31"/>
      <c r="AN136" s="31"/>
      <c r="AO136" s="31"/>
    </row>
    <row r="137" spans="1:41" ht="15.75" customHeight="1">
      <c r="A137" s="24" t="s">
        <v>223</v>
      </c>
      <c r="B137" s="89">
        <f>(' Pivot Table for Data Exchange'!$F$115)*100</f>
        <v>80.723521196558096</v>
      </c>
      <c r="C137" s="89">
        <f>(' Pivot Table for Data Exchange'!$F$118)*100</f>
        <v>2.456638284452854</v>
      </c>
      <c r="D137" s="83">
        <f>SUM(E137:G137)</f>
        <v>16.81984051898905</v>
      </c>
      <c r="E137" s="89">
        <f>(' Pivot Table for Data Exchange'!$F$121)*100</f>
        <v>16.81984051898905</v>
      </c>
      <c r="F137" s="89">
        <f>(' Pivot Table for Data Exchange'!$F$124)*100</f>
        <v>0</v>
      </c>
      <c r="G137" s="91">
        <f>(' Pivot Table for Data Exchange'!$F$127)*100</f>
        <v>0</v>
      </c>
      <c r="H137" s="89">
        <f>(' Pivot Table for Data Exchange'!$F$130)*100</f>
        <v>0</v>
      </c>
      <c r="I137" s="24" t="s">
        <v>111</v>
      </c>
      <c r="J137" s="89">
        <f>(' Pivot Table for Data Exchange'!$F$133)*100</f>
        <v>56.868365180467094</v>
      </c>
      <c r="K137" s="89">
        <f>(' Pivot Table for Data Exchange'!$F$136)*100</f>
        <v>3.4023354564755839</v>
      </c>
      <c r="L137" s="83">
        <f>SUM(M137:O137)</f>
        <v>39.729299363057322</v>
      </c>
      <c r="M137" s="89">
        <f>(' Pivot Table for Data Exchange'!$F$139)*100</f>
        <v>39.729299363057322</v>
      </c>
      <c r="N137" s="89">
        <f>(' Pivot Table for Data Exchange'!$F$142)*100</f>
        <v>0</v>
      </c>
      <c r="O137" s="91">
        <f>(' Pivot Table for Data Exchange'!$F$145)*100</f>
        <v>0</v>
      </c>
      <c r="P137" s="89">
        <f>(' Pivot Table for Data Exchange'!$F$148)*100</f>
        <v>0</v>
      </c>
      <c r="Q137" s="23">
        <f t="shared" si="22"/>
        <v>100</v>
      </c>
      <c r="R137" s="23">
        <f t="shared" si="23"/>
        <v>100</v>
      </c>
      <c r="S137" s="31"/>
      <c r="U137" s="31"/>
      <c r="V137" s="31"/>
      <c r="W137" s="31"/>
      <c r="X137" s="31"/>
      <c r="Y137" s="31"/>
      <c r="Z137" s="31"/>
      <c r="AA137" s="31"/>
      <c r="AB137" s="31"/>
      <c r="AC137" s="31"/>
      <c r="AD137" s="31"/>
      <c r="AE137" s="31"/>
      <c r="AF137" s="31"/>
      <c r="AG137" s="31"/>
      <c r="AH137" s="31"/>
      <c r="AI137" s="31"/>
      <c r="AJ137" s="31"/>
      <c r="AK137" s="31"/>
      <c r="AL137" s="31"/>
      <c r="AM137" s="31"/>
      <c r="AN137" s="31"/>
      <c r="AO137" s="31"/>
    </row>
    <row r="138" spans="1:41" ht="15.75" customHeight="1">
      <c r="A138" s="24"/>
      <c r="B138" s="89"/>
      <c r="C138" s="89"/>
      <c r="D138" s="83"/>
      <c r="E138" s="89"/>
      <c r="F138" s="89"/>
      <c r="G138" s="91"/>
      <c r="H138" s="89"/>
      <c r="I138" s="24"/>
      <c r="J138" s="89"/>
      <c r="K138" s="89"/>
      <c r="L138" s="83"/>
      <c r="M138" s="89"/>
      <c r="N138" s="89"/>
      <c r="O138" s="91"/>
      <c r="P138" s="89"/>
      <c r="Q138" s="23">
        <f t="shared" si="22"/>
        <v>0</v>
      </c>
      <c r="R138" s="23">
        <f t="shared" si="23"/>
        <v>0</v>
      </c>
      <c r="S138" s="31"/>
      <c r="U138" s="31"/>
      <c r="V138" s="31"/>
      <c r="W138" s="31"/>
      <c r="X138" s="31"/>
      <c r="Y138" s="31"/>
      <c r="Z138" s="31"/>
      <c r="AA138" s="31"/>
      <c r="AB138" s="31"/>
      <c r="AC138" s="31"/>
      <c r="AD138" s="31"/>
      <c r="AE138" s="31"/>
      <c r="AF138" s="31"/>
      <c r="AG138" s="31"/>
      <c r="AH138" s="31"/>
      <c r="AI138" s="31"/>
      <c r="AJ138" s="31"/>
      <c r="AK138" s="31"/>
      <c r="AL138" s="31"/>
      <c r="AM138" s="31"/>
      <c r="AN138" s="31"/>
      <c r="AO138" s="31"/>
    </row>
    <row r="139" spans="1:41" ht="15.75" customHeight="1">
      <c r="A139" s="24" t="s">
        <v>224</v>
      </c>
      <c r="B139" s="89">
        <f>(' Pivot Table for Data Exchange'!$F$151)*100</f>
        <v>95.810459930191541</v>
      </c>
      <c r="C139" s="89">
        <f>(' Pivot Table for Data Exchange'!$F$154)*100</f>
        <v>2.292844972878485</v>
      </c>
      <c r="D139" s="83">
        <f>SUM(E139:G139)</f>
        <v>1.8966950969299892</v>
      </c>
      <c r="E139" s="89">
        <f>(' Pivot Table for Data Exchange'!$F$157)*100</f>
        <v>1.8808305468627309</v>
      </c>
      <c r="F139" s="156">
        <f>(' Pivot Table for Data Exchange'!$F$160)*100</f>
        <v>0</v>
      </c>
      <c r="G139" s="159">
        <f>(' Pivot Table for Data Exchange'!$F$163)*100</f>
        <v>1.5864550067258273E-2</v>
      </c>
      <c r="H139" s="89">
        <f>(' Pivot Table for Data Exchange'!$F$166)*100</f>
        <v>0</v>
      </c>
      <c r="I139" s="24" t="s">
        <v>224</v>
      </c>
      <c r="J139" s="89">
        <f>(' Pivot Table for Data Exchange'!$F$169)*100</f>
        <v>75.281470773866474</v>
      </c>
      <c r="K139" s="89">
        <f>(' Pivot Table for Data Exchange'!$F$172)*100</f>
        <v>17.751491337011625</v>
      </c>
      <c r="L139" s="83">
        <f>SUM(M139:O139)</f>
        <v>6.9670378891218929</v>
      </c>
      <c r="M139" s="89">
        <f>(' Pivot Table for Data Exchange'!$F$175)*100</f>
        <v>6.834700816417941</v>
      </c>
      <c r="N139" s="89">
        <f>(' Pivot Table for Data Exchange'!$F$178)*100</f>
        <v>0</v>
      </c>
      <c r="O139" s="91">
        <f>(' Pivot Table for Data Exchange'!$F$181)*100</f>
        <v>0.13233707270395179</v>
      </c>
      <c r="P139" s="89">
        <f>(' Pivot Table for Data Exchange'!$F$184)*100</f>
        <v>0</v>
      </c>
      <c r="Q139" s="23">
        <f t="shared" ref="Q139:Q202" si="24">SUM(B139,C139,D139,H139)</f>
        <v>100.00000000000001</v>
      </c>
      <c r="R139" s="23">
        <f t="shared" ref="R139:R202" si="25">SUM(J139,K139,L139,P139)</f>
        <v>100</v>
      </c>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row>
    <row r="140" spans="1:41" ht="15.75" customHeight="1">
      <c r="A140" s="24" t="s">
        <v>225</v>
      </c>
      <c r="B140" s="89">
        <f>(' Pivot Table for Data Exchange'!$F$187)*100</f>
        <v>85.224224365140813</v>
      </c>
      <c r="C140" s="89">
        <f>(' Pivot Table for Data Exchange'!$F$190)*100</f>
        <v>5.4834080226492414</v>
      </c>
      <c r="D140" s="83">
        <f>SUM(E140:G140)</f>
        <v>9.2923676122099437</v>
      </c>
      <c r="E140" s="89">
        <f>(' Pivot Table for Data Exchange'!$F$193)*100</f>
        <v>7.4411674995894046</v>
      </c>
      <c r="F140" s="89">
        <f>(' Pivot Table for Data Exchange'!$F$196)*100</f>
        <v>1.5890054198634478</v>
      </c>
      <c r="G140" s="91">
        <f>(' Pivot Table for Data Exchange'!$F$199)*100</f>
        <v>0.26219469275709162</v>
      </c>
      <c r="H140" s="89">
        <f>(' Pivot Table for Data Exchange'!$F$202)*100</f>
        <v>0</v>
      </c>
      <c r="I140" s="24" t="s">
        <v>225</v>
      </c>
      <c r="J140" s="89">
        <f>(' Pivot Table for Data Exchange'!$F$205)*100</f>
        <v>61.100029919218116</v>
      </c>
      <c r="K140" s="89">
        <f>(' Pivot Table for Data Exchange'!$F$208)*100</f>
        <v>4.4596256773378542</v>
      </c>
      <c r="L140" s="83">
        <f>SUM(M140:O140)</f>
        <v>34.440344403444037</v>
      </c>
      <c r="M140" s="89">
        <f>(' Pivot Table for Data Exchange'!$F$211)*100</f>
        <v>32.719989362055784</v>
      </c>
      <c r="N140" s="89">
        <f>(' Pivot Table for Data Exchange'!$F$214)*100</f>
        <v>1.7203550413882516</v>
      </c>
      <c r="O140" s="159">
        <f>(' Pivot Table for Data Exchange'!$F$217)*100</f>
        <v>0</v>
      </c>
      <c r="P140" s="89">
        <f>(' Pivot Table for Data Exchange'!$F$220)*100</f>
        <v>0</v>
      </c>
      <c r="Q140" s="23">
        <f t="shared" si="24"/>
        <v>100</v>
      </c>
      <c r="R140" s="23">
        <f t="shared" si="25"/>
        <v>100</v>
      </c>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row>
    <row r="141" spans="1:41" ht="15.75" customHeight="1">
      <c r="A141" s="24" t="s">
        <v>226</v>
      </c>
      <c r="B141" s="89">
        <f>(' Pivot Table for Data Exchange'!$F$223)*100</f>
        <v>91.245384927925372</v>
      </c>
      <c r="C141" s="89">
        <f>(' Pivot Table for Data Exchange'!$F$226)*100</f>
        <v>0</v>
      </c>
      <c r="D141" s="83">
        <f>SUM(E141:G141)</f>
        <v>8.7546150720746194</v>
      </c>
      <c r="E141" s="89">
        <f>(' Pivot Table for Data Exchange'!$F$229)*100</f>
        <v>8.1350030031091016</v>
      </c>
      <c r="F141" s="89">
        <f>(' Pivot Table for Data Exchange'!$F$232)*100</f>
        <v>0.45775332108535899</v>
      </c>
      <c r="G141" s="91">
        <f>(' Pivot Table for Data Exchange'!$F$235)*100</f>
        <v>0.1618587478801583</v>
      </c>
      <c r="H141" s="89">
        <f>(' Pivot Table for Data Exchange'!$F$238)*100</f>
        <v>0</v>
      </c>
      <c r="I141" s="24" t="s">
        <v>226</v>
      </c>
      <c r="J141" s="89">
        <f>(' Pivot Table for Data Exchange'!$F$241)*100</f>
        <v>76.861775212970599</v>
      </c>
      <c r="K141" s="89">
        <f>(' Pivot Table for Data Exchange'!$F$244)*100</f>
        <v>0</v>
      </c>
      <c r="L141" s="83">
        <f>SUM(M141:O141)</f>
        <v>23.138224787029404</v>
      </c>
      <c r="M141" s="89">
        <f>(' Pivot Table for Data Exchange'!$F$247)*100</f>
        <v>20.557845561967575</v>
      </c>
      <c r="N141" s="89">
        <f>(' Pivot Table for Data Exchange'!$F$250)*100</f>
        <v>2.4484748557295961</v>
      </c>
      <c r="O141" s="91">
        <f>(' Pivot Table for Data Exchange'!$F$253)*100</f>
        <v>0.13190436933223415</v>
      </c>
      <c r="P141" s="89">
        <f>(' Pivot Table for Data Exchange'!$F$256)*100</f>
        <v>0</v>
      </c>
      <c r="Q141" s="23">
        <f t="shared" si="24"/>
        <v>99.999999999999986</v>
      </c>
      <c r="R141" s="23">
        <f t="shared" si="25"/>
        <v>100</v>
      </c>
      <c r="S141" s="31"/>
      <c r="T141" s="40"/>
      <c r="U141" s="31"/>
      <c r="V141" s="31"/>
      <c r="W141" s="31"/>
      <c r="X141" s="31"/>
      <c r="Y141" s="31"/>
      <c r="Z141" s="31"/>
      <c r="AA141" s="31"/>
      <c r="AB141" s="31"/>
      <c r="AC141" s="31"/>
      <c r="AD141" s="31"/>
      <c r="AE141" s="31"/>
      <c r="AF141" s="31"/>
      <c r="AG141" s="31"/>
      <c r="AH141" s="31"/>
      <c r="AI141" s="31"/>
      <c r="AJ141" s="31"/>
      <c r="AK141" s="31"/>
      <c r="AL141" s="31"/>
      <c r="AM141" s="31"/>
      <c r="AN141" s="31"/>
      <c r="AO141" s="31"/>
    </row>
    <row r="142" spans="1:41" ht="15.75" customHeight="1">
      <c r="A142" s="24" t="s">
        <v>227</v>
      </c>
      <c r="B142" s="89">
        <f>(' Pivot Table for Data Exchange'!$F$259)*100</f>
        <v>93.212127400965286</v>
      </c>
      <c r="C142" s="89">
        <f>(' Pivot Table for Data Exchange'!$F$262)*100</f>
        <v>0.94599060249815259</v>
      </c>
      <c r="D142" s="83">
        <f>SUM(E142:G142)</f>
        <v>5.8418819965365687</v>
      </c>
      <c r="E142" s="89">
        <f>(' Pivot Table for Data Exchange'!$F$265)*100</f>
        <v>5.5362433536005087</v>
      </c>
      <c r="F142" s="89">
        <f>(' Pivot Table for Data Exchange'!$F$268)*100</f>
        <v>0.12268094020403331</v>
      </c>
      <c r="G142" s="91">
        <f>(' Pivot Table for Data Exchange'!$F$271)*100</f>
        <v>0.18295770273202655</v>
      </c>
      <c r="H142" s="89">
        <f>(' Pivot Table for Data Exchange'!$F$274)*100</f>
        <v>0</v>
      </c>
      <c r="I142" s="24" t="s">
        <v>227</v>
      </c>
      <c r="J142" s="89">
        <f>(' Pivot Table for Data Exchange'!$F$277)*100</f>
        <v>79.467938737825406</v>
      </c>
      <c r="K142" s="89">
        <f>(' Pivot Table for Data Exchange'!$F$280)*100</f>
        <v>9.1069553568195811</v>
      </c>
      <c r="L142" s="83">
        <f>SUM(M142:O142)</f>
        <v>11.425105905355009</v>
      </c>
      <c r="M142" s="89">
        <f>(' Pivot Table for Data Exchange'!$F$283)*100</f>
        <v>10.85937217133133</v>
      </c>
      <c r="N142" s="89">
        <f>(' Pivot Table for Data Exchange'!$F$286)*100</f>
        <v>0.56573373402367932</v>
      </c>
      <c r="O142" s="91">
        <f>(' Pivot Table for Data Exchange'!$F$289)*100</f>
        <v>0</v>
      </c>
      <c r="P142" s="89">
        <f>(' Pivot Table for Data Exchange'!$F$292)*100</f>
        <v>0</v>
      </c>
      <c r="Q142" s="23">
        <f t="shared" si="24"/>
        <v>100.00000000000001</v>
      </c>
      <c r="R142" s="23">
        <f t="shared" si="25"/>
        <v>100</v>
      </c>
      <c r="S142" s="31"/>
      <c r="U142" s="31"/>
      <c r="V142" s="31"/>
      <c r="W142" s="31"/>
      <c r="X142" s="31"/>
      <c r="Y142" s="31"/>
      <c r="Z142" s="31"/>
      <c r="AA142" s="31"/>
      <c r="AB142" s="31"/>
      <c r="AC142" s="31"/>
      <c r="AD142" s="31"/>
      <c r="AE142" s="31"/>
      <c r="AF142" s="31"/>
      <c r="AG142" s="31"/>
      <c r="AH142" s="31"/>
      <c r="AI142" s="31"/>
      <c r="AJ142" s="31"/>
      <c r="AK142" s="31"/>
      <c r="AL142" s="31"/>
      <c r="AM142" s="31"/>
      <c r="AN142" s="31"/>
      <c r="AO142" s="31"/>
    </row>
    <row r="143" spans="1:41" ht="15.75" customHeight="1">
      <c r="A143" s="24"/>
      <c r="B143" s="89"/>
      <c r="C143" s="89"/>
      <c r="D143" s="83"/>
      <c r="E143" s="89"/>
      <c r="F143" s="89"/>
      <c r="G143" s="91"/>
      <c r="H143" s="89"/>
      <c r="I143" s="24"/>
      <c r="J143" s="89"/>
      <c r="K143" s="89"/>
      <c r="L143" s="83"/>
      <c r="M143" s="89"/>
      <c r="N143" s="89"/>
      <c r="O143" s="91"/>
      <c r="P143" s="89"/>
      <c r="Q143" s="23">
        <f t="shared" si="24"/>
        <v>0</v>
      </c>
      <c r="R143" s="23">
        <f t="shared" si="25"/>
        <v>0</v>
      </c>
      <c r="S143" s="31"/>
      <c r="U143" s="31"/>
      <c r="V143" s="31"/>
      <c r="W143" s="31"/>
      <c r="X143" s="31"/>
      <c r="Y143" s="31"/>
      <c r="Z143" s="31"/>
      <c r="AA143" s="31"/>
      <c r="AB143" s="31"/>
      <c r="AC143" s="31"/>
      <c r="AD143" s="31"/>
      <c r="AE143" s="31"/>
      <c r="AF143" s="31"/>
      <c r="AG143" s="31"/>
      <c r="AH143" s="31"/>
      <c r="AI143" s="31"/>
      <c r="AJ143" s="31"/>
      <c r="AK143" s="31"/>
      <c r="AL143" s="31"/>
      <c r="AM143" s="31"/>
      <c r="AN143" s="31"/>
      <c r="AO143" s="31"/>
    </row>
    <row r="144" spans="1:41" ht="15.75" customHeight="1">
      <c r="A144" s="24" t="s">
        <v>204</v>
      </c>
      <c r="B144" s="89">
        <f>(' Pivot Table for Data Exchange'!$F$295)*100</f>
        <v>92.720819744987708</v>
      </c>
      <c r="C144" s="89">
        <f>(' Pivot Table for Data Exchange'!$F$298)*100</f>
        <v>1.1580087257522362</v>
      </c>
      <c r="D144" s="83">
        <f>SUM(E144:G144)</f>
        <v>6.1211715292600637</v>
      </c>
      <c r="E144" s="89">
        <f>(' Pivot Table for Data Exchange'!$F$301)*100</f>
        <v>5.9552946036793379</v>
      </c>
      <c r="F144" s="156">
        <f>(' Pivot Table for Data Exchange'!$F$304)*100</f>
        <v>2.1908273189907169E-2</v>
      </c>
      <c r="G144" s="91">
        <f>(' Pivot Table for Data Exchange'!$F$307)*100</f>
        <v>0.14396865239081857</v>
      </c>
      <c r="H144" s="89">
        <f>(' Pivot Table for Data Exchange'!$F$310)*100</f>
        <v>0</v>
      </c>
      <c r="I144" s="24" t="s">
        <v>204</v>
      </c>
      <c r="J144" s="89">
        <f>(' Pivot Table for Data Exchange'!$F$313)*100</f>
        <v>71.045643153526967</v>
      </c>
      <c r="K144" s="89">
        <f>(' Pivot Table for Data Exchange'!$F$316)*100</f>
        <v>2.1784232365145226</v>
      </c>
      <c r="L144" s="83">
        <f>SUM(M144:O144)</f>
        <v>26.775933609958507</v>
      </c>
      <c r="M144" s="89">
        <f>(' Pivot Table for Data Exchange'!$F$319)*100</f>
        <v>26.203319502074692</v>
      </c>
      <c r="N144" s="89">
        <f>(' Pivot Table for Data Exchange'!$F$322)*100</f>
        <v>0.12448132780082986</v>
      </c>
      <c r="O144" s="91">
        <f>(' Pivot Table for Data Exchange'!$F$325)*100</f>
        <v>0.44813278008298757</v>
      </c>
      <c r="P144" s="89">
        <f>(' Pivot Table for Data Exchange'!$F$328)*100</f>
        <v>0</v>
      </c>
      <c r="Q144" s="23">
        <f t="shared" si="24"/>
        <v>100.00000000000001</v>
      </c>
      <c r="R144" s="23">
        <f t="shared" si="25"/>
        <v>100</v>
      </c>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row>
    <row r="145" spans="1:41" ht="15.75" customHeight="1">
      <c r="A145" s="24" t="s">
        <v>212</v>
      </c>
      <c r="B145" s="89">
        <f>(' Pivot Table for Data Exchange'!$F$331)*100</f>
        <v>83.033868944507489</v>
      </c>
      <c r="C145" s="89">
        <f>(' Pivot Table for Data Exchange'!$F$334)*100</f>
        <v>6.9870378113613283</v>
      </c>
      <c r="D145" s="83">
        <f>SUM(E145:G145)</f>
        <v>9.9790932441311764</v>
      </c>
      <c r="E145" s="89">
        <f>(' Pivot Table for Data Exchange'!$F$337)*100</f>
        <v>9.8787408159608159</v>
      </c>
      <c r="F145" s="89">
        <f>(' Pivot Table for Data Exchange'!$F$340)*100</f>
        <v>0.10035242817036019</v>
      </c>
      <c r="G145" s="91">
        <f>(' Pivot Table for Data Exchange'!$F$343)*100</f>
        <v>0</v>
      </c>
      <c r="H145" s="89">
        <f>(' Pivot Table for Data Exchange'!$F$346)*100</f>
        <v>0</v>
      </c>
      <c r="I145" s="24" t="s">
        <v>212</v>
      </c>
      <c r="J145" s="89">
        <f>(' Pivot Table for Data Exchange'!$F$349)*100</f>
        <v>62.188439101997531</v>
      </c>
      <c r="K145" s="89">
        <f>(' Pivot Table for Data Exchange'!$F$352)*100</f>
        <v>19.011843733427611</v>
      </c>
      <c r="L145" s="83">
        <f>SUM(M145:O145)</f>
        <v>18.799717164574865</v>
      </c>
      <c r="M145" s="89">
        <f>(' Pivot Table for Data Exchange'!$F$355)*100</f>
        <v>18.799717164574865</v>
      </c>
      <c r="N145" s="89">
        <f>(' Pivot Table for Data Exchange'!$F$358)*100</f>
        <v>0</v>
      </c>
      <c r="O145" s="91">
        <f>(' Pivot Table for Data Exchange'!$F$361)*100</f>
        <v>0</v>
      </c>
      <c r="P145" s="89">
        <f>(' Pivot Table for Data Exchange'!$F$364)*100</f>
        <v>0</v>
      </c>
      <c r="Q145" s="23">
        <f t="shared" si="24"/>
        <v>100</v>
      </c>
      <c r="R145" s="23">
        <f t="shared" si="25"/>
        <v>100</v>
      </c>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row>
    <row r="146" spans="1:41" ht="15.75" customHeight="1">
      <c r="A146" s="24" t="s">
        <v>205</v>
      </c>
      <c r="B146" s="89">
        <f>(' Pivot Table for Data Exchange'!$F$367)*100</f>
        <v>0</v>
      </c>
      <c r="C146" s="89">
        <f>(' Pivot Table for Data Exchange'!$F$370)*100</f>
        <v>0</v>
      </c>
      <c r="D146" s="83">
        <f>SUM(E146:G146)</f>
        <v>0</v>
      </c>
      <c r="E146" s="89">
        <f>(' Pivot Table for Data Exchange'!$F$373)*100</f>
        <v>0</v>
      </c>
      <c r="F146" s="89">
        <f>(' Pivot Table for Data Exchange'!$F$376)*100</f>
        <v>0</v>
      </c>
      <c r="G146" s="91">
        <f>(' Pivot Table for Data Exchange'!$F$379)*100</f>
        <v>0</v>
      </c>
      <c r="H146" s="89">
        <f>(' Pivot Table for Data Exchange'!$F$382)*100</f>
        <v>0</v>
      </c>
      <c r="I146" s="24" t="s">
        <v>205</v>
      </c>
      <c r="J146" s="89">
        <f>(' Pivot Table for Data Exchange'!$F$385)*100</f>
        <v>0</v>
      </c>
      <c r="K146" s="89">
        <f>(' Pivot Table for Data Exchange'!$F$388)*100</f>
        <v>0</v>
      </c>
      <c r="L146" s="83">
        <f>SUM(M146:O146)</f>
        <v>0</v>
      </c>
      <c r="M146" s="89">
        <f>(' Pivot Table for Data Exchange'!$F$391)*100</f>
        <v>0</v>
      </c>
      <c r="N146" s="89">
        <f>(' Pivot Table for Data Exchange'!$F$394)*100</f>
        <v>0</v>
      </c>
      <c r="O146" s="91">
        <f>(' Pivot Table for Data Exchange'!$F$397)*100</f>
        <v>0</v>
      </c>
      <c r="P146" s="89">
        <f>(' Pivot Table for Data Exchange'!$F$400)*100</f>
        <v>0</v>
      </c>
      <c r="Q146" s="23">
        <f t="shared" si="24"/>
        <v>0</v>
      </c>
      <c r="R146" s="23">
        <f t="shared" si="25"/>
        <v>0</v>
      </c>
      <c r="S146" s="31"/>
      <c r="T146" s="40"/>
      <c r="U146" s="31"/>
      <c r="V146" s="31"/>
      <c r="W146" s="31"/>
      <c r="X146" s="31"/>
      <c r="Y146" s="31"/>
      <c r="Z146" s="31"/>
      <c r="AA146" s="31"/>
      <c r="AB146" s="31"/>
      <c r="AC146" s="31"/>
      <c r="AD146" s="31"/>
      <c r="AE146" s="31"/>
      <c r="AF146" s="31"/>
      <c r="AG146" s="31"/>
      <c r="AH146" s="31"/>
      <c r="AI146" s="31"/>
      <c r="AJ146" s="31"/>
      <c r="AK146" s="31"/>
      <c r="AL146" s="31"/>
      <c r="AM146" s="31"/>
      <c r="AN146" s="31"/>
      <c r="AO146" s="31"/>
    </row>
    <row r="147" spans="1:41" ht="15.75" customHeight="1">
      <c r="A147" s="24" t="s">
        <v>228</v>
      </c>
      <c r="B147" s="89">
        <f>(' Pivot Table for Data Exchange'!$F$403)*100</f>
        <v>99.683773150134215</v>
      </c>
      <c r="C147" s="89">
        <f>(' Pivot Table for Data Exchange'!$F$406)*100</f>
        <v>0.19120693247698775</v>
      </c>
      <c r="D147" s="83">
        <f>SUM(E147:G147)</f>
        <v>0.1250199173887997</v>
      </c>
      <c r="E147" s="89">
        <f>(' Pivot Table for Data Exchange'!$F$409)*100</f>
        <v>0.1250199173887997</v>
      </c>
      <c r="F147" s="89">
        <f>(' Pivot Table for Data Exchange'!$F$412)*100</f>
        <v>0</v>
      </c>
      <c r="G147" s="91">
        <f>(' Pivot Table for Data Exchange'!$F$415)*100</f>
        <v>0</v>
      </c>
      <c r="H147" s="89">
        <f>(' Pivot Table for Data Exchange'!$F$418)*100</f>
        <v>0</v>
      </c>
      <c r="I147" s="24" t="s">
        <v>228</v>
      </c>
      <c r="J147" s="89">
        <f>(' Pivot Table for Data Exchange'!$F$421)*100</f>
        <v>85.495869076635756</v>
      </c>
      <c r="K147" s="89">
        <f>(' Pivot Table for Data Exchange'!$F$424)*100</f>
        <v>10.825868126998197</v>
      </c>
      <c r="L147" s="83">
        <f>SUM(M147:O147)</f>
        <v>3.6782627963660537</v>
      </c>
      <c r="M147" s="89">
        <f>(' Pivot Table for Data Exchange'!$F$427)*100</f>
        <v>3.6782627963660537</v>
      </c>
      <c r="N147" s="89">
        <f>(' Pivot Table for Data Exchange'!$F$430)*100</f>
        <v>0</v>
      </c>
      <c r="O147" s="91">
        <f>(' Pivot Table for Data Exchange'!$F$433)*100</f>
        <v>0</v>
      </c>
      <c r="P147" s="89">
        <f>(' Pivot Table for Data Exchange'!$F$436)*100</f>
        <v>0</v>
      </c>
      <c r="Q147" s="23">
        <f t="shared" si="24"/>
        <v>100</v>
      </c>
      <c r="R147" s="23">
        <f t="shared" si="25"/>
        <v>100.00000000000001</v>
      </c>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row>
    <row r="148" spans="1:41" ht="15.75" customHeight="1">
      <c r="A148" s="24"/>
      <c r="B148" s="89"/>
      <c r="C148" s="89"/>
      <c r="D148" s="83"/>
      <c r="E148" s="89"/>
      <c r="F148" s="89"/>
      <c r="G148" s="91"/>
      <c r="H148" s="89"/>
      <c r="I148" s="24"/>
      <c r="J148" s="89"/>
      <c r="K148" s="89"/>
      <c r="L148" s="83"/>
      <c r="M148" s="89"/>
      <c r="N148" s="89"/>
      <c r="O148" s="91"/>
      <c r="P148" s="89"/>
      <c r="Q148" s="23">
        <f t="shared" si="24"/>
        <v>0</v>
      </c>
      <c r="R148" s="23">
        <f t="shared" si="25"/>
        <v>0</v>
      </c>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row>
    <row r="149" spans="1:41" ht="15.75" customHeight="1">
      <c r="A149" s="24" t="s">
        <v>229</v>
      </c>
      <c r="B149" s="89">
        <f>(' Pivot Table for Data Exchange'!$F$439)*100</f>
        <v>79.050160278935223</v>
      </c>
      <c r="C149" s="89">
        <f>(' Pivot Table for Data Exchange'!$F$442)*100</f>
        <v>1.3411742302303753</v>
      </c>
      <c r="D149" s="83">
        <f>SUM(E149:G149)</f>
        <v>18.691652346601497</v>
      </c>
      <c r="E149" s="89">
        <f>(' Pivot Table for Data Exchange'!$F$445)*100</f>
        <v>16.097718008823275</v>
      </c>
      <c r="F149" s="156">
        <f>(' Pivot Table for Data Exchange'!$F$448)*100</f>
        <v>8.8414122682529822E-3</v>
      </c>
      <c r="G149" s="91">
        <f>(' Pivot Table for Data Exchange'!$F$451)*100</f>
        <v>2.5850929255099682</v>
      </c>
      <c r="H149" s="89">
        <f>(' Pivot Table for Data Exchange'!$F$454)*100</f>
        <v>0.91701314423290547</v>
      </c>
      <c r="I149" s="24" t="s">
        <v>229</v>
      </c>
      <c r="J149" s="89">
        <f>(' Pivot Table for Data Exchange'!$F$457)*100</f>
        <v>49.257547889282669</v>
      </c>
      <c r="K149" s="89">
        <f>(' Pivot Table for Data Exchange'!$F$460)*100</f>
        <v>9.0193351576869585</v>
      </c>
      <c r="L149" s="83">
        <f>SUM(M149:O149)</f>
        <v>37.663182450316278</v>
      </c>
      <c r="M149" s="89">
        <f>(' Pivot Table for Data Exchange'!$F$463)*100</f>
        <v>33.796150912924503</v>
      </c>
      <c r="N149" s="89">
        <f>(' Pivot Table for Data Exchange'!$F$466)*100</f>
        <v>0.22879188910322554</v>
      </c>
      <c r="O149" s="91">
        <f>(' Pivot Table for Data Exchange'!$F$469)*100</f>
        <v>3.6382396482885473</v>
      </c>
      <c r="P149" s="89">
        <f>(' Pivot Table for Data Exchange'!$F$472)*100</f>
        <v>4.0599345027140998</v>
      </c>
      <c r="Q149" s="23">
        <f t="shared" si="24"/>
        <v>100.00000000000001</v>
      </c>
      <c r="R149" s="23">
        <f t="shared" si="25"/>
        <v>100</v>
      </c>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row>
    <row r="150" spans="1:41" ht="15.75" customHeight="1">
      <c r="A150" s="24" t="s">
        <v>213</v>
      </c>
      <c r="B150" s="89">
        <f>(' Pivot Table for Data Exchange'!$F$475)*100</f>
        <v>87.759134378320567</v>
      </c>
      <c r="C150" s="89">
        <f>(' Pivot Table for Data Exchange'!$F$478)*100</f>
        <v>1.5897047691143074</v>
      </c>
      <c r="D150" s="83">
        <f>SUM(E150:G150)</f>
        <v>10.651160852565127</v>
      </c>
      <c r="E150" s="89">
        <f>(' Pivot Table for Data Exchange'!$F$481)*100</f>
        <v>10.409128475091848</v>
      </c>
      <c r="F150" s="89">
        <f>(' Pivot Table for Data Exchange'!$F$484)*100</f>
        <v>0.24203237747327921</v>
      </c>
      <c r="G150" s="91">
        <f>(' Pivot Table for Data Exchange'!$F$487)*100</f>
        <v>0</v>
      </c>
      <c r="H150" s="89">
        <f>(' Pivot Table for Data Exchange'!$F$490)*100</f>
        <v>0</v>
      </c>
      <c r="I150" s="24" t="s">
        <v>213</v>
      </c>
      <c r="J150" s="89">
        <f>(' Pivot Table for Data Exchange'!$F$493)*100</f>
        <v>74.882302234599834</v>
      </c>
      <c r="K150" s="89">
        <f>(' Pivot Table for Data Exchange'!$F$496)*100</f>
        <v>2.1417677872820104</v>
      </c>
      <c r="L150" s="83">
        <f>SUM(M150:O150)</f>
        <v>22.97592997811816</v>
      </c>
      <c r="M150" s="89">
        <f>(' Pivot Table for Data Exchange'!$F$499)*100</f>
        <v>22.763742457396724</v>
      </c>
      <c r="N150" s="89">
        <f>(' Pivot Table for Data Exchange'!$F$502)*100</f>
        <v>0.21218752072143754</v>
      </c>
      <c r="O150" s="91">
        <f>(' Pivot Table for Data Exchange'!$F$505)*100</f>
        <v>0</v>
      </c>
      <c r="P150" s="89">
        <f>(' Pivot Table for Data Exchange'!$F$508)*100</f>
        <v>0</v>
      </c>
      <c r="Q150" s="23">
        <f t="shared" si="24"/>
        <v>100</v>
      </c>
      <c r="R150" s="23">
        <f t="shared" si="25"/>
        <v>100</v>
      </c>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row>
    <row r="151" spans="1:41" ht="15.75" customHeight="1">
      <c r="A151" s="24" t="s">
        <v>230</v>
      </c>
      <c r="B151" s="89">
        <f>(' Pivot Table for Data Exchange'!$F$511)*100</f>
        <v>0</v>
      </c>
      <c r="C151" s="89">
        <f>(' Pivot Table for Data Exchange'!$F$514)*100</f>
        <v>0</v>
      </c>
      <c r="D151" s="83">
        <f>SUM(E151:G151)</f>
        <v>0</v>
      </c>
      <c r="E151" s="89">
        <f>(' Pivot Table for Data Exchange'!$F$517)*100</f>
        <v>0</v>
      </c>
      <c r="F151" s="89">
        <f>(' Pivot Table for Data Exchange'!$F$520)*100</f>
        <v>0</v>
      </c>
      <c r="G151" s="91">
        <f>(' Pivot Table for Data Exchange'!$F$523)*100</f>
        <v>0</v>
      </c>
      <c r="H151" s="89">
        <f>(' Pivot Table for Data Exchange'!$F$526)*100</f>
        <v>0</v>
      </c>
      <c r="I151" s="24" t="s">
        <v>230</v>
      </c>
      <c r="J151" s="89">
        <f>(' Pivot Table for Data Exchange'!$F$529)*100</f>
        <v>0</v>
      </c>
      <c r="K151" s="89">
        <f>(' Pivot Table for Data Exchange'!$F$532)*100</f>
        <v>0</v>
      </c>
      <c r="L151" s="83">
        <f>SUM(M151:O151)</f>
        <v>0</v>
      </c>
      <c r="M151" s="89">
        <f>(' Pivot Table for Data Exchange'!$F$535)*100</f>
        <v>0</v>
      </c>
      <c r="N151" s="89">
        <f>(' Pivot Table for Data Exchange'!$F$538)*100</f>
        <v>0</v>
      </c>
      <c r="O151" s="91">
        <f>(' Pivot Table for Data Exchange'!$F$541)*100</f>
        <v>0</v>
      </c>
      <c r="P151" s="89">
        <f>(' Pivot Table for Data Exchange'!$F$544)*100</f>
        <v>0</v>
      </c>
      <c r="Q151" s="23">
        <f t="shared" si="24"/>
        <v>0</v>
      </c>
      <c r="R151" s="23">
        <f t="shared" si="25"/>
        <v>0</v>
      </c>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row>
    <row r="152" spans="1:41" ht="15.75" customHeight="1">
      <c r="A152" s="18" t="s">
        <v>206</v>
      </c>
      <c r="B152" s="92">
        <f>(' Pivot Table for Data Exchange'!$F$547)*100</f>
        <v>0</v>
      </c>
      <c r="C152" s="92">
        <f>(' Pivot Table for Data Exchange'!$F$550)*100</f>
        <v>0</v>
      </c>
      <c r="D152" s="84">
        <f>SUM(E152:G152)</f>
        <v>0</v>
      </c>
      <c r="E152" s="92">
        <f>(' Pivot Table for Data Exchange'!$F$553)*100</f>
        <v>0</v>
      </c>
      <c r="F152" s="92">
        <f>(' Pivot Table for Data Exchange'!$F$556)*100</f>
        <v>0</v>
      </c>
      <c r="G152" s="93">
        <f>(' Pivot Table for Data Exchange'!$F$559)*100</f>
        <v>0</v>
      </c>
      <c r="H152" s="92">
        <f>(' Pivot Table for Data Exchange'!$F$562)*100</f>
        <v>0</v>
      </c>
      <c r="I152" s="18" t="s">
        <v>206</v>
      </c>
      <c r="J152" s="92">
        <f>(' Pivot Table for Data Exchange'!$F$565)*100</f>
        <v>0</v>
      </c>
      <c r="K152" s="92">
        <f>(' Pivot Table for Data Exchange'!$F$568)*100</f>
        <v>0</v>
      </c>
      <c r="L152" s="84">
        <f>SUM(M152:O152)</f>
        <v>0</v>
      </c>
      <c r="M152" s="92">
        <f>(' Pivot Table for Data Exchange'!$F$571)*100</f>
        <v>0</v>
      </c>
      <c r="N152" s="92">
        <f>(' Pivot Table for Data Exchange'!$F$574)*100</f>
        <v>0</v>
      </c>
      <c r="O152" s="93">
        <f>(' Pivot Table for Data Exchange'!$F$577)*100</f>
        <v>0</v>
      </c>
      <c r="P152" s="92">
        <f>(' Pivot Table for Data Exchange'!$F$580)*100</f>
        <v>0</v>
      </c>
      <c r="Q152" s="23">
        <f t="shared" si="24"/>
        <v>0</v>
      </c>
      <c r="R152" s="23">
        <f t="shared" si="25"/>
        <v>0</v>
      </c>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row>
    <row r="153" spans="1:41" s="45" customFormat="1" ht="18" customHeight="1">
      <c r="A153" s="85" t="s">
        <v>35</v>
      </c>
      <c r="B153" s="49"/>
      <c r="C153" s="49"/>
      <c r="D153" s="50"/>
      <c r="E153" s="49"/>
      <c r="F153" s="50"/>
      <c r="G153" s="50"/>
      <c r="H153" s="49"/>
      <c r="I153" s="85" t="s">
        <v>35</v>
      </c>
      <c r="J153" s="49"/>
      <c r="K153" s="49"/>
      <c r="L153" s="50"/>
      <c r="M153" s="49"/>
      <c r="N153" s="50"/>
      <c r="O153" s="50"/>
      <c r="P153" s="49"/>
      <c r="Q153" s="23">
        <f t="shared" si="24"/>
        <v>0</v>
      </c>
      <c r="R153" s="23">
        <f t="shared" si="25"/>
        <v>0</v>
      </c>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row>
    <row r="154" spans="1:41" s="45" customFormat="1" ht="24" customHeight="1">
      <c r="A154" s="601" t="s">
        <v>897</v>
      </c>
      <c r="B154" s="602"/>
      <c r="C154" s="602"/>
      <c r="D154" s="602"/>
      <c r="E154" s="602"/>
      <c r="F154" s="602"/>
      <c r="G154" s="602"/>
      <c r="H154" s="602"/>
      <c r="I154" s="601" t="s">
        <v>897</v>
      </c>
      <c r="J154" s="602"/>
      <c r="K154" s="602"/>
      <c r="L154" s="602"/>
      <c r="M154" s="602"/>
      <c r="N154" s="602"/>
      <c r="O154" s="602"/>
      <c r="P154" s="602"/>
      <c r="Q154" s="23">
        <f t="shared" si="24"/>
        <v>0</v>
      </c>
      <c r="R154" s="23">
        <f t="shared" si="25"/>
        <v>0</v>
      </c>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row>
    <row r="155" spans="1:41" s="45" customFormat="1" ht="13.5" customHeight="1">
      <c r="A155" s="85"/>
      <c r="B155" s="44"/>
      <c r="H155" s="572" t="s">
        <v>889</v>
      </c>
      <c r="I155" s="85"/>
      <c r="P155" s="572" t="s">
        <v>889</v>
      </c>
      <c r="Q155" s="23">
        <f t="shared" si="24"/>
        <v>0</v>
      </c>
      <c r="R155" s="23">
        <f t="shared" si="25"/>
        <v>0</v>
      </c>
    </row>
    <row r="156" spans="1:41" ht="18">
      <c r="A156" s="15" t="s">
        <v>4</v>
      </c>
      <c r="B156" s="16"/>
      <c r="C156" s="16"/>
      <c r="D156" s="16"/>
      <c r="E156" s="16"/>
      <c r="F156" s="16"/>
      <c r="G156" s="16"/>
      <c r="H156" s="30"/>
      <c r="I156" s="15" t="s">
        <v>20</v>
      </c>
      <c r="J156" s="17"/>
      <c r="K156" s="17"/>
      <c r="L156" s="16"/>
      <c r="M156" s="17"/>
      <c r="N156" s="17"/>
      <c r="O156" s="17"/>
      <c r="P156" s="17"/>
      <c r="Q156" s="23">
        <f t="shared" si="24"/>
        <v>0</v>
      </c>
      <c r="R156" s="23">
        <f t="shared" si="25"/>
        <v>0</v>
      </c>
    </row>
    <row r="157" spans="1:41">
      <c r="A157" s="58"/>
      <c r="B157" s="17"/>
      <c r="C157" s="17"/>
      <c r="D157" s="17"/>
      <c r="E157" s="17"/>
      <c r="F157" s="17"/>
      <c r="G157" s="17"/>
      <c r="H157" s="27"/>
      <c r="I157" s="58"/>
      <c r="J157" s="17"/>
      <c r="K157" s="17"/>
      <c r="L157" s="17"/>
      <c r="M157" s="17"/>
      <c r="N157" s="17"/>
      <c r="O157" s="17"/>
      <c r="P157" s="17"/>
      <c r="Q157" s="23">
        <f t="shared" si="24"/>
        <v>0</v>
      </c>
      <c r="R157" s="23">
        <f t="shared" si="25"/>
        <v>0</v>
      </c>
    </row>
    <row r="158" spans="1:41" ht="15.75">
      <c r="A158" s="26" t="s">
        <v>23</v>
      </c>
      <c r="B158" s="17"/>
      <c r="C158" s="17"/>
      <c r="D158" s="17"/>
      <c r="E158" s="17"/>
      <c r="F158" s="17"/>
      <c r="G158" s="17"/>
      <c r="H158" s="27"/>
      <c r="I158" s="26" t="s">
        <v>24</v>
      </c>
      <c r="J158" s="17"/>
      <c r="K158" s="17"/>
      <c r="L158" s="17"/>
      <c r="M158" s="17"/>
      <c r="N158" s="17"/>
      <c r="O158" s="17"/>
      <c r="P158" s="17"/>
      <c r="Q158" s="23">
        <f t="shared" si="24"/>
        <v>0</v>
      </c>
      <c r="R158" s="23">
        <f t="shared" si="25"/>
        <v>0</v>
      </c>
    </row>
    <row r="159" spans="1:41" ht="15.75">
      <c r="A159" s="26" t="s">
        <v>757</v>
      </c>
      <c r="B159" s="17"/>
      <c r="C159" s="17"/>
      <c r="D159" s="17"/>
      <c r="E159" s="17"/>
      <c r="F159" s="17"/>
      <c r="G159" s="17"/>
      <c r="H159" s="27"/>
      <c r="I159" s="26" t="s">
        <v>757</v>
      </c>
      <c r="J159" s="17"/>
      <c r="K159" s="17"/>
      <c r="L159" s="17"/>
      <c r="M159" s="17"/>
      <c r="N159" s="17"/>
      <c r="O159" s="17"/>
      <c r="P159" s="17"/>
      <c r="Q159" s="23">
        <f t="shared" si="24"/>
        <v>0</v>
      </c>
      <c r="R159" s="23">
        <f t="shared" si="25"/>
        <v>0</v>
      </c>
    </row>
    <row r="160" spans="1:41">
      <c r="A160" s="18"/>
      <c r="B160" s="19"/>
      <c r="C160" s="19"/>
      <c r="D160" s="19"/>
      <c r="E160" s="19"/>
      <c r="F160" s="19"/>
      <c r="G160" s="19"/>
      <c r="H160" s="19"/>
      <c r="I160" s="20"/>
      <c r="L160" s="21"/>
      <c r="P160" s="18"/>
      <c r="Q160" s="23">
        <f t="shared" si="24"/>
        <v>0</v>
      </c>
      <c r="R160" s="23">
        <f t="shared" si="25"/>
        <v>0</v>
      </c>
    </row>
    <row r="161" spans="1:41" s="67" customFormat="1">
      <c r="A161" s="63"/>
      <c r="B161" s="64" t="s">
        <v>215</v>
      </c>
      <c r="C161" s="64"/>
      <c r="D161" s="64"/>
      <c r="E161" s="64"/>
      <c r="F161" s="64"/>
      <c r="G161" s="64"/>
      <c r="H161" s="65"/>
      <c r="I161" s="63"/>
      <c r="J161" s="64" t="s">
        <v>215</v>
      </c>
      <c r="K161" s="64"/>
      <c r="L161" s="64"/>
      <c r="M161" s="64"/>
      <c r="N161" s="64"/>
      <c r="O161" s="64"/>
      <c r="P161" s="65"/>
      <c r="Q161" s="23">
        <f t="shared" si="24"/>
        <v>0</v>
      </c>
      <c r="R161" s="23">
        <f t="shared" si="25"/>
        <v>0</v>
      </c>
    </row>
    <row r="162" spans="1:41" s="67" customFormat="1">
      <c r="A162" s="63"/>
      <c r="B162" s="64" t="s">
        <v>209</v>
      </c>
      <c r="C162" s="64"/>
      <c r="D162" s="597" t="s">
        <v>30</v>
      </c>
      <c r="E162" s="598"/>
      <c r="F162" s="598"/>
      <c r="G162" s="598"/>
      <c r="H162" s="68" t="s">
        <v>196</v>
      </c>
      <c r="I162" s="63"/>
      <c r="J162" s="64" t="s">
        <v>209</v>
      </c>
      <c r="K162" s="64"/>
      <c r="L162" s="597" t="s">
        <v>30</v>
      </c>
      <c r="M162" s="598"/>
      <c r="N162" s="598"/>
      <c r="O162" s="598"/>
      <c r="P162" s="68" t="s">
        <v>196</v>
      </c>
      <c r="Q162" s="23">
        <f t="shared" si="24"/>
        <v>0</v>
      </c>
      <c r="R162" s="23">
        <f t="shared" si="25"/>
        <v>0</v>
      </c>
    </row>
    <row r="163" spans="1:41" s="67" customFormat="1" ht="40.5" customHeight="1">
      <c r="A163" s="63"/>
      <c r="B163" s="69" t="s">
        <v>22</v>
      </c>
      <c r="C163" s="70" t="s">
        <v>21</v>
      </c>
      <c r="D163" s="71" t="s">
        <v>28</v>
      </c>
      <c r="E163" s="72" t="s">
        <v>195</v>
      </c>
      <c r="F163" s="69" t="s">
        <v>210</v>
      </c>
      <c r="G163" s="73" t="s">
        <v>32</v>
      </c>
      <c r="H163" s="74" t="s">
        <v>31</v>
      </c>
      <c r="I163" s="63"/>
      <c r="J163" s="69" t="s">
        <v>22</v>
      </c>
      <c r="K163" s="70" t="s">
        <v>21</v>
      </c>
      <c r="L163" s="71" t="s">
        <v>28</v>
      </c>
      <c r="M163" s="72" t="s">
        <v>195</v>
      </c>
      <c r="N163" s="69" t="s">
        <v>210</v>
      </c>
      <c r="O163" s="73" t="s">
        <v>32</v>
      </c>
      <c r="P163" s="74" t="s">
        <v>31</v>
      </c>
      <c r="Q163" s="23">
        <f t="shared" si="24"/>
        <v>0</v>
      </c>
      <c r="R163" s="23">
        <f t="shared" si="25"/>
        <v>0</v>
      </c>
      <c r="T163" s="75"/>
    </row>
    <row r="164" spans="1:41" ht="15.75" customHeight="1">
      <c r="A164" s="25" t="s">
        <v>220</v>
      </c>
      <c r="B164" s="89">
        <f>(' Pivot Table for Data Exchange'!$G$7)*100</f>
        <v>97.398886766352675</v>
      </c>
      <c r="C164" s="156">
        <f>(' Pivot Table for Data Exchange'!$G$10)*100</f>
        <v>8.2339766813780378E-3</v>
      </c>
      <c r="D164" s="83">
        <f>SUM(E164:G164)</f>
        <v>2.5928792569659445</v>
      </c>
      <c r="E164" s="89">
        <f>(' Pivot Table for Data Exchange'!$G$13)*100</f>
        <v>2.5928792569659445</v>
      </c>
      <c r="F164" s="89">
        <f>(' Pivot Table for Data Exchange'!$G$16)*100</f>
        <v>0</v>
      </c>
      <c r="G164" s="90">
        <f>(' Pivot Table for Data Exchange'!$G$19)*100</f>
        <v>0</v>
      </c>
      <c r="H164" s="89">
        <f>(' Pivot Table for Data Exchange'!$G$22)*100</f>
        <v>0</v>
      </c>
      <c r="I164" s="25" t="s">
        <v>220</v>
      </c>
      <c r="J164" s="89">
        <f>(' Pivot Table for Data Exchange'!$G$25)*100</f>
        <v>12.81861221366745</v>
      </c>
      <c r="K164" s="89">
        <f>(' Pivot Table for Data Exchange'!$G$28)*100</f>
        <v>0.79384056238343459</v>
      </c>
      <c r="L164" s="83">
        <f>SUM(M164:O164)</f>
        <v>86.387547223949113</v>
      </c>
      <c r="M164" s="89">
        <f>(' Pivot Table for Data Exchange'!$G$31)*100</f>
        <v>86.387547223949113</v>
      </c>
      <c r="N164" s="89">
        <f>(' Pivot Table for Data Exchange'!$G$34)*100</f>
        <v>0</v>
      </c>
      <c r="O164" s="90">
        <f>(' Pivot Table for Data Exchange'!$G$37)*100</f>
        <v>0</v>
      </c>
      <c r="P164" s="89">
        <f>(' Pivot Table for Data Exchange'!$G$40)*100</f>
        <v>0</v>
      </c>
      <c r="Q164" s="23">
        <f>SUM(B164,C164,D164,H164)</f>
        <v>100</v>
      </c>
      <c r="R164" s="23">
        <f t="shared" si="25"/>
        <v>100</v>
      </c>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row>
    <row r="165" spans="1:41" ht="15.75" customHeight="1">
      <c r="A165" s="24" t="s">
        <v>221</v>
      </c>
      <c r="B165" s="89">
        <f>(' Pivot Table for Data Exchange'!$G$43)*100</f>
        <v>79.532107006105761</v>
      </c>
      <c r="C165" s="89">
        <f>(' Pivot Table for Data Exchange'!$G$46)*100</f>
        <v>11.589956535237505</v>
      </c>
      <c r="D165" s="83">
        <f>SUM(E165:G165)</f>
        <v>8.8779364586567322</v>
      </c>
      <c r="E165" s="89">
        <f>(' Pivot Table for Data Exchange'!$G$49)*100</f>
        <v>4.1563179136914004</v>
      </c>
      <c r="F165" s="89">
        <f>(' Pivot Table for Data Exchange'!$G$52)*100</f>
        <v>4.7216185449653318</v>
      </c>
      <c r="G165" s="91">
        <f>(' Pivot Table for Data Exchange'!$G$55)*100</f>
        <v>0</v>
      </c>
      <c r="H165" s="89">
        <f>(' Pivot Table for Data Exchange'!$G$58)*100</f>
        <v>0</v>
      </c>
      <c r="I165" s="24" t="s">
        <v>221</v>
      </c>
      <c r="J165" s="89">
        <f>(' Pivot Table for Data Exchange'!$G$61)*100</f>
        <v>50.462337662337667</v>
      </c>
      <c r="K165" s="89">
        <f>(' Pivot Table for Data Exchange'!$G$64)*100</f>
        <v>3.3766233766233764</v>
      </c>
      <c r="L165" s="83">
        <f>SUM(M165:O165)</f>
        <v>46.161038961038962</v>
      </c>
      <c r="M165" s="89">
        <f>(' Pivot Table for Data Exchange'!$G$67)*100</f>
        <v>11.158441558441558</v>
      </c>
      <c r="N165" s="89">
        <f>(' Pivot Table for Data Exchange'!$G$70)*100</f>
        <v>35.002597402597402</v>
      </c>
      <c r="O165" s="91">
        <f>(' Pivot Table for Data Exchange'!$G$73)*100</f>
        <v>0</v>
      </c>
      <c r="P165" s="89">
        <f>(' Pivot Table for Data Exchange'!$G$76)*100</f>
        <v>0</v>
      </c>
      <c r="Q165" s="23">
        <f t="shared" si="24"/>
        <v>100</v>
      </c>
      <c r="R165" s="23">
        <f t="shared" si="25"/>
        <v>100</v>
      </c>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row>
    <row r="166" spans="1:41" ht="15.75" customHeight="1">
      <c r="A166" s="24" t="s">
        <v>222</v>
      </c>
      <c r="B166" s="89">
        <f>(' Pivot Table for Data Exchange'!$G$79)*100</f>
        <v>0</v>
      </c>
      <c r="C166" s="89">
        <f>(' Pivot Table for Data Exchange'!$G$82)*100</f>
        <v>0</v>
      </c>
      <c r="D166" s="83">
        <f>SUM(E166:G166)</f>
        <v>0</v>
      </c>
      <c r="E166" s="89">
        <f>(' Pivot Table for Data Exchange'!$G$85)*100</f>
        <v>0</v>
      </c>
      <c r="F166" s="89">
        <f>(' Pivot Table for Data Exchange'!$G$88)*100</f>
        <v>0</v>
      </c>
      <c r="G166" s="91">
        <f>(' Pivot Table for Data Exchange'!$G$91)*100</f>
        <v>0</v>
      </c>
      <c r="H166" s="89">
        <f>(' Pivot Table for Data Exchange'!$G$94)*100</f>
        <v>0</v>
      </c>
      <c r="I166" s="24" t="s">
        <v>222</v>
      </c>
      <c r="J166" s="89">
        <f>(' Pivot Table for Data Exchange'!$G$97)*100</f>
        <v>0</v>
      </c>
      <c r="K166" s="89">
        <f>(' Pivot Table for Data Exchange'!$G$100)*100</f>
        <v>0</v>
      </c>
      <c r="L166" s="83">
        <f>SUM(M166:O166)</f>
        <v>0</v>
      </c>
      <c r="M166" s="89">
        <f>(' Pivot Table for Data Exchange'!$G$103)*100</f>
        <v>0</v>
      </c>
      <c r="N166" s="89">
        <f>(' Pivot Table for Data Exchange'!$G$106)*100</f>
        <v>0</v>
      </c>
      <c r="O166" s="91">
        <f>(' Pivot Table for Data Exchange'!$G$109)*100</f>
        <v>0</v>
      </c>
      <c r="P166" s="89">
        <f>(' Pivot Table for Data Exchange'!$G$112)*100</f>
        <v>0</v>
      </c>
      <c r="Q166" s="23">
        <f t="shared" si="24"/>
        <v>0</v>
      </c>
      <c r="R166" s="23">
        <f t="shared" si="25"/>
        <v>0</v>
      </c>
      <c r="S166" s="31"/>
      <c r="T166" s="40"/>
      <c r="U166" s="31"/>
      <c r="V166" s="31"/>
      <c r="W166" s="31"/>
      <c r="X166" s="31"/>
      <c r="Y166" s="31"/>
      <c r="Z166" s="31"/>
      <c r="AA166" s="31"/>
      <c r="AB166" s="31"/>
      <c r="AC166" s="31"/>
      <c r="AD166" s="31"/>
      <c r="AE166" s="31"/>
      <c r="AF166" s="31"/>
      <c r="AG166" s="31"/>
      <c r="AH166" s="31"/>
      <c r="AI166" s="31"/>
      <c r="AJ166" s="31"/>
      <c r="AK166" s="31"/>
      <c r="AL166" s="31"/>
      <c r="AM166" s="31"/>
      <c r="AN166" s="31"/>
      <c r="AO166" s="31"/>
    </row>
    <row r="167" spans="1:41" ht="15.75" customHeight="1">
      <c r="A167" s="24" t="s">
        <v>111</v>
      </c>
      <c r="B167" s="89">
        <f>(' Pivot Table for Data Exchange'!$G$115)*100</f>
        <v>0</v>
      </c>
      <c r="C167" s="89">
        <f>(' Pivot Table for Data Exchange'!$G$118)*100</f>
        <v>0</v>
      </c>
      <c r="D167" s="83">
        <f>SUM(E167:G167)</f>
        <v>0</v>
      </c>
      <c r="E167" s="89">
        <f>(' Pivot Table for Data Exchange'!$G$121)*100</f>
        <v>0</v>
      </c>
      <c r="F167" s="89">
        <f>(' Pivot Table for Data Exchange'!$G$124)*100</f>
        <v>0</v>
      </c>
      <c r="G167" s="91">
        <f>(' Pivot Table for Data Exchange'!$G$127)*100</f>
        <v>0</v>
      </c>
      <c r="H167" s="89">
        <f>(' Pivot Table for Data Exchange'!$G$130)*100</f>
        <v>0</v>
      </c>
      <c r="I167" s="24" t="s">
        <v>111</v>
      </c>
      <c r="J167" s="89">
        <f>(' Pivot Table for Data Exchange'!$G$133)*100</f>
        <v>0</v>
      </c>
      <c r="K167" s="89">
        <f>(' Pivot Table for Data Exchange'!$G$136)*100</f>
        <v>0</v>
      </c>
      <c r="L167" s="83">
        <f>SUM(M167:O167)</f>
        <v>0</v>
      </c>
      <c r="M167" s="89">
        <f>(' Pivot Table for Data Exchange'!$G$139)*100</f>
        <v>0</v>
      </c>
      <c r="N167" s="89">
        <f>(' Pivot Table for Data Exchange'!$G$142)*100</f>
        <v>0</v>
      </c>
      <c r="O167" s="91">
        <f>(' Pivot Table for Data Exchange'!$G$145)*100</f>
        <v>0</v>
      </c>
      <c r="P167" s="89">
        <f>(' Pivot Table for Data Exchange'!$G$148)*100</f>
        <v>0</v>
      </c>
      <c r="Q167" s="23">
        <f t="shared" si="24"/>
        <v>0</v>
      </c>
      <c r="R167" s="23">
        <f t="shared" si="25"/>
        <v>0</v>
      </c>
      <c r="S167" s="31"/>
      <c r="U167" s="31"/>
      <c r="V167" s="31"/>
      <c r="W167" s="31"/>
      <c r="X167" s="31"/>
      <c r="Y167" s="31"/>
      <c r="Z167" s="31"/>
      <c r="AA167" s="31"/>
      <c r="AB167" s="31"/>
      <c r="AC167" s="31"/>
      <c r="AD167" s="31"/>
      <c r="AE167" s="31"/>
      <c r="AF167" s="31"/>
      <c r="AG167" s="31"/>
      <c r="AH167" s="31"/>
      <c r="AI167" s="31"/>
      <c r="AJ167" s="31"/>
      <c r="AK167" s="31"/>
      <c r="AL167" s="31"/>
      <c r="AM167" s="31"/>
      <c r="AN167" s="31"/>
      <c r="AO167" s="31"/>
    </row>
    <row r="168" spans="1:41" ht="10.5" customHeight="1">
      <c r="A168" s="24"/>
      <c r="B168" s="89"/>
      <c r="C168" s="89"/>
      <c r="D168" s="83"/>
      <c r="E168" s="89"/>
      <c r="F168" s="89"/>
      <c r="G168" s="91"/>
      <c r="H168" s="89"/>
      <c r="I168" s="24"/>
      <c r="J168" s="89"/>
      <c r="K168" s="89"/>
      <c r="L168" s="83"/>
      <c r="M168" s="89"/>
      <c r="N168" s="89"/>
      <c r="O168" s="91"/>
      <c r="P168" s="89"/>
      <c r="Q168" s="23">
        <f t="shared" si="24"/>
        <v>0</v>
      </c>
      <c r="R168" s="23">
        <f t="shared" si="25"/>
        <v>0</v>
      </c>
      <c r="S168" s="31"/>
      <c r="U168" s="31"/>
      <c r="V168" s="31"/>
      <c r="W168" s="31"/>
      <c r="X168" s="31"/>
      <c r="Y168" s="31"/>
      <c r="Z168" s="31"/>
      <c r="AA168" s="31"/>
      <c r="AB168" s="31"/>
      <c r="AC168" s="31"/>
      <c r="AD168" s="31"/>
      <c r="AE168" s="31"/>
      <c r="AF168" s="31"/>
      <c r="AG168" s="31"/>
      <c r="AH168" s="31"/>
      <c r="AI168" s="31"/>
      <c r="AJ168" s="31"/>
      <c r="AK168" s="31"/>
      <c r="AL168" s="31"/>
      <c r="AM168" s="31"/>
      <c r="AN168" s="31"/>
      <c r="AO168" s="31"/>
    </row>
    <row r="169" spans="1:41" ht="15.75" customHeight="1">
      <c r="A169" s="24" t="s">
        <v>224</v>
      </c>
      <c r="B169" s="89">
        <f>(' Pivot Table for Data Exchange'!$G$151)*100</f>
        <v>92.8102464537602</v>
      </c>
      <c r="C169" s="89">
        <f>(' Pivot Table for Data Exchange'!$G$154)*100</f>
        <v>1.4420714795150171</v>
      </c>
      <c r="D169" s="83">
        <f>SUM(E169:G169)</f>
        <v>5.7280687851652274</v>
      </c>
      <c r="E169" s="89">
        <f>(' Pivot Table for Data Exchange'!$G$157)*100</f>
        <v>5.0408114747602824</v>
      </c>
      <c r="F169" s="89">
        <f>(' Pivot Table for Data Exchange'!$G$160)*100</f>
        <v>0.31262382122196686</v>
      </c>
      <c r="G169" s="91">
        <f>(' Pivot Table for Data Exchange'!$G$163)*100</f>
        <v>0.37463348918297806</v>
      </c>
      <c r="H169" s="156">
        <f>(' Pivot Table for Data Exchange'!$G$166)*100</f>
        <v>1.9613281559553056E-2</v>
      </c>
      <c r="I169" s="24" t="s">
        <v>224</v>
      </c>
      <c r="J169" s="89">
        <f>(' Pivot Table for Data Exchange'!$G$169)*100</f>
        <v>76.165430895143288</v>
      </c>
      <c r="K169" s="89">
        <f>(' Pivot Table for Data Exchange'!$G$172)*100</f>
        <v>18.354414141673296</v>
      </c>
      <c r="L169" s="83">
        <f>SUM(M169:O169)</f>
        <v>5.4801549631834163</v>
      </c>
      <c r="M169" s="89">
        <f>(' Pivot Table for Data Exchange'!$G$175)*100</f>
        <v>5.4801549631834163</v>
      </c>
      <c r="N169" s="156">
        <f>(' Pivot Table for Data Exchange'!$G$178)*100</f>
        <v>0</v>
      </c>
      <c r="O169" s="91">
        <f>(' Pivot Table for Data Exchange'!$G$181)*100</f>
        <v>0</v>
      </c>
      <c r="P169" s="89">
        <f>(' Pivot Table for Data Exchange'!$G$184)*100</f>
        <v>0</v>
      </c>
      <c r="Q169" s="23">
        <f t="shared" si="24"/>
        <v>100.00000000000001</v>
      </c>
      <c r="R169" s="23">
        <f t="shared" si="25"/>
        <v>100</v>
      </c>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row>
    <row r="170" spans="1:41" ht="15.75" customHeight="1">
      <c r="A170" s="24" t="s">
        <v>225</v>
      </c>
      <c r="B170" s="89">
        <f>(' Pivot Table for Data Exchange'!$G$187)*100</f>
        <v>89.264684647103181</v>
      </c>
      <c r="C170" s="89">
        <f>(' Pivot Table for Data Exchange'!$G$190)*100</f>
        <v>0</v>
      </c>
      <c r="D170" s="83">
        <f>SUM(E170:G170)</f>
        <v>10.735315352896819</v>
      </c>
      <c r="E170" s="89">
        <f>(' Pivot Table for Data Exchange'!$G$193)*100</f>
        <v>10.231520849712004</v>
      </c>
      <c r="F170" s="89">
        <f>(' Pivot Table for Data Exchange'!$G$196)*100</f>
        <v>0.50379450318481556</v>
      </c>
      <c r="G170" s="91">
        <f>(' Pivot Table for Data Exchange'!$G$199)*100</f>
        <v>0</v>
      </c>
      <c r="H170" s="89">
        <f>(' Pivot Table for Data Exchange'!$G$202)*100</f>
        <v>0</v>
      </c>
      <c r="I170" s="24" t="s">
        <v>225</v>
      </c>
      <c r="J170" s="89">
        <f>(' Pivot Table for Data Exchange'!$G$205)*100</f>
        <v>47.56189047261816</v>
      </c>
      <c r="K170" s="89">
        <f>(' Pivot Table for Data Exchange'!$G$208)*100</f>
        <v>0</v>
      </c>
      <c r="L170" s="83">
        <f>SUM(M170:O170)</f>
        <v>52.438109527381847</v>
      </c>
      <c r="M170" s="89">
        <f>(' Pivot Table for Data Exchange'!$G$211)*100</f>
        <v>52.438109527381847</v>
      </c>
      <c r="N170" s="89">
        <f>(' Pivot Table for Data Exchange'!$G$214)*100</f>
        <v>0</v>
      </c>
      <c r="O170" s="91">
        <f>(' Pivot Table for Data Exchange'!$G$217)*100</f>
        <v>0</v>
      </c>
      <c r="P170" s="89">
        <f>(' Pivot Table for Data Exchange'!$G$220)*100</f>
        <v>0</v>
      </c>
      <c r="Q170" s="23">
        <f t="shared" si="24"/>
        <v>100</v>
      </c>
      <c r="R170" s="23">
        <f t="shared" si="25"/>
        <v>100</v>
      </c>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row>
    <row r="171" spans="1:41" ht="15.75" customHeight="1">
      <c r="A171" s="24" t="s">
        <v>226</v>
      </c>
      <c r="B171" s="89">
        <f>(' Pivot Table for Data Exchange'!$G$223)*100</f>
        <v>100</v>
      </c>
      <c r="C171" s="89">
        <f>(' Pivot Table for Data Exchange'!$G$226)*100</f>
        <v>0</v>
      </c>
      <c r="D171" s="83">
        <f>SUM(E171:G171)</f>
        <v>0</v>
      </c>
      <c r="E171" s="89">
        <f>(' Pivot Table for Data Exchange'!$G$229)*100</f>
        <v>0</v>
      </c>
      <c r="F171" s="89">
        <f>(' Pivot Table for Data Exchange'!$G$232)*100</f>
        <v>0</v>
      </c>
      <c r="G171" s="91">
        <f>(' Pivot Table for Data Exchange'!$G$235)*100</f>
        <v>0</v>
      </c>
      <c r="H171" s="89">
        <f>(' Pivot Table for Data Exchange'!$G$238)*100</f>
        <v>0</v>
      </c>
      <c r="I171" s="24" t="s">
        <v>226</v>
      </c>
      <c r="J171" s="89">
        <f>(' Pivot Table for Data Exchange'!$G$241)*100</f>
        <v>100</v>
      </c>
      <c r="K171" s="89">
        <f>(' Pivot Table for Data Exchange'!$G$244)*100</f>
        <v>0</v>
      </c>
      <c r="L171" s="83">
        <f>SUM(M171:O171)</f>
        <v>0</v>
      </c>
      <c r="M171" s="89">
        <f>(' Pivot Table for Data Exchange'!$G$247)*100</f>
        <v>0</v>
      </c>
      <c r="N171" s="89">
        <f>(' Pivot Table for Data Exchange'!$G$250)*100</f>
        <v>0</v>
      </c>
      <c r="O171" s="91">
        <f>(' Pivot Table for Data Exchange'!$G$253)*100</f>
        <v>0</v>
      </c>
      <c r="P171" s="89">
        <f>(' Pivot Table for Data Exchange'!$G$256)*100</f>
        <v>0</v>
      </c>
      <c r="Q171" s="23">
        <f t="shared" si="24"/>
        <v>100</v>
      </c>
      <c r="R171" s="23">
        <f t="shared" si="25"/>
        <v>100</v>
      </c>
      <c r="S171" s="31"/>
      <c r="T171" s="40"/>
      <c r="U171" s="31"/>
      <c r="V171" s="31"/>
      <c r="W171" s="31"/>
      <c r="X171" s="31"/>
      <c r="Y171" s="31"/>
      <c r="Z171" s="31"/>
      <c r="AA171" s="31"/>
      <c r="AB171" s="31"/>
      <c r="AC171" s="31"/>
      <c r="AD171" s="31"/>
      <c r="AE171" s="31"/>
      <c r="AF171" s="31"/>
      <c r="AG171" s="31"/>
      <c r="AH171" s="31"/>
      <c r="AI171" s="31"/>
      <c r="AJ171" s="31"/>
      <c r="AK171" s="31"/>
      <c r="AL171" s="31"/>
      <c r="AM171" s="31"/>
      <c r="AN171" s="31"/>
      <c r="AO171" s="31"/>
    </row>
    <row r="172" spans="1:41" ht="15.75" customHeight="1">
      <c r="A172" s="24" t="s">
        <v>227</v>
      </c>
      <c r="B172" s="89">
        <f>(' Pivot Table for Data Exchange'!$G$259)*100</f>
        <v>0</v>
      </c>
      <c r="C172" s="89">
        <f>(' Pivot Table for Data Exchange'!$G$262)*100</f>
        <v>0</v>
      </c>
      <c r="D172" s="83">
        <f>SUM(E172:G172)</f>
        <v>0</v>
      </c>
      <c r="E172" s="89">
        <f>(' Pivot Table for Data Exchange'!$G$265)*100</f>
        <v>0</v>
      </c>
      <c r="F172" s="89">
        <f>(' Pivot Table for Data Exchange'!$G$268)*100</f>
        <v>0</v>
      </c>
      <c r="G172" s="91">
        <f>(' Pivot Table for Data Exchange'!$G$271)*100</f>
        <v>0</v>
      </c>
      <c r="H172" s="89">
        <f>(' Pivot Table for Data Exchange'!$G$274)*100</f>
        <v>0</v>
      </c>
      <c r="I172" s="24" t="s">
        <v>227</v>
      </c>
      <c r="J172" s="89">
        <f>(' Pivot Table for Data Exchange'!$G$277)*100</f>
        <v>0</v>
      </c>
      <c r="K172" s="89">
        <f>(' Pivot Table for Data Exchange'!$G$280)*100</f>
        <v>0</v>
      </c>
      <c r="L172" s="83">
        <f>SUM(M172:O172)</f>
        <v>0</v>
      </c>
      <c r="M172" s="89">
        <f>(' Pivot Table for Data Exchange'!$G$283)*100</f>
        <v>0</v>
      </c>
      <c r="N172" s="89">
        <f>(' Pivot Table for Data Exchange'!$G$286)*100</f>
        <v>0</v>
      </c>
      <c r="O172" s="91">
        <f>(' Pivot Table for Data Exchange'!$G$289)*100</f>
        <v>0</v>
      </c>
      <c r="P172" s="89">
        <f>(' Pivot Table for Data Exchange'!$G$292)*100</f>
        <v>0</v>
      </c>
      <c r="Q172" s="23">
        <f t="shared" si="24"/>
        <v>0</v>
      </c>
      <c r="R172" s="23">
        <f t="shared" si="25"/>
        <v>0</v>
      </c>
      <c r="S172" s="31"/>
      <c r="U172" s="31"/>
      <c r="V172" s="31"/>
      <c r="W172" s="31"/>
      <c r="X172" s="31"/>
      <c r="Y172" s="31"/>
      <c r="Z172" s="31"/>
      <c r="AA172" s="31"/>
      <c r="AB172" s="31"/>
      <c r="AC172" s="31"/>
      <c r="AD172" s="31"/>
      <c r="AE172" s="31"/>
      <c r="AF172" s="31"/>
      <c r="AG172" s="31"/>
      <c r="AH172" s="31"/>
      <c r="AI172" s="31"/>
      <c r="AJ172" s="31"/>
      <c r="AK172" s="31"/>
      <c r="AL172" s="31"/>
      <c r="AM172" s="31"/>
      <c r="AN172" s="31"/>
      <c r="AO172" s="31"/>
    </row>
    <row r="173" spans="1:41" ht="11.25" customHeight="1">
      <c r="A173" s="24"/>
      <c r="B173" s="89"/>
      <c r="C173" s="89"/>
      <c r="D173" s="83"/>
      <c r="E173" s="89"/>
      <c r="F173" s="89"/>
      <c r="G173" s="91"/>
      <c r="H173" s="89"/>
      <c r="I173" s="24"/>
      <c r="J173" s="89"/>
      <c r="K173" s="89"/>
      <c r="L173" s="83"/>
      <c r="M173" s="89"/>
      <c r="N173" s="89"/>
      <c r="O173" s="91"/>
      <c r="P173" s="89"/>
      <c r="Q173" s="23">
        <f t="shared" si="24"/>
        <v>0</v>
      </c>
      <c r="R173" s="23">
        <f t="shared" si="25"/>
        <v>0</v>
      </c>
      <c r="S173" s="31"/>
      <c r="U173" s="31"/>
      <c r="V173" s="31"/>
      <c r="W173" s="31"/>
      <c r="X173" s="31"/>
      <c r="Y173" s="31"/>
      <c r="Z173" s="31"/>
      <c r="AA173" s="31"/>
      <c r="AB173" s="31"/>
      <c r="AC173" s="31"/>
      <c r="AD173" s="31"/>
      <c r="AE173" s="31"/>
      <c r="AF173" s="31"/>
      <c r="AG173" s="31"/>
      <c r="AH173" s="31"/>
      <c r="AI173" s="31"/>
      <c r="AJ173" s="31"/>
      <c r="AK173" s="31"/>
      <c r="AL173" s="31"/>
      <c r="AM173" s="31"/>
      <c r="AN173" s="31"/>
      <c r="AO173" s="31"/>
    </row>
    <row r="174" spans="1:41" ht="15.75" customHeight="1">
      <c r="A174" s="24" t="s">
        <v>204</v>
      </c>
      <c r="B174" s="89">
        <f>(' Pivot Table for Data Exchange'!$G$295)*100</f>
        <v>87.797808132147395</v>
      </c>
      <c r="C174" s="89">
        <f>(' Pivot Table for Data Exchange'!$G$298)*100</f>
        <v>2.7088627700127064</v>
      </c>
      <c r="D174" s="83">
        <f>SUM(E174:G174)</f>
        <v>8.6856734434561638</v>
      </c>
      <c r="E174" s="89">
        <f>(' Pivot Table for Data Exchange'!$G$301)*100</f>
        <v>8.4037484116899623</v>
      </c>
      <c r="F174" s="89">
        <f>(' Pivot Table for Data Exchange'!$G$304)*100</f>
        <v>0</v>
      </c>
      <c r="G174" s="91">
        <f>(' Pivot Table for Data Exchange'!$G$307)*100</f>
        <v>0.28192503176620076</v>
      </c>
      <c r="H174" s="89">
        <f>(' Pivot Table for Data Exchange'!$G$310)*100</f>
        <v>0.80765565438373577</v>
      </c>
      <c r="I174" s="24" t="s">
        <v>204</v>
      </c>
      <c r="J174" s="89">
        <f>(' Pivot Table for Data Exchange'!$G$313)*100</f>
        <v>75.32493907392363</v>
      </c>
      <c r="K174" s="89">
        <f>(' Pivot Table for Data Exchange'!$G$316)*100</f>
        <v>9.504467912266449</v>
      </c>
      <c r="L174" s="83">
        <f>SUM(M174:O174)</f>
        <v>15.17059301380991</v>
      </c>
      <c r="M174" s="89">
        <f>(' Pivot Table for Data Exchange'!$G$319)*100</f>
        <v>13.647441104792851</v>
      </c>
      <c r="N174" s="89">
        <f>(' Pivot Table for Data Exchange'!$G$322)*100</f>
        <v>0</v>
      </c>
      <c r="O174" s="91">
        <f>(' Pivot Table for Data Exchange'!$G$325)*100</f>
        <v>1.5231519090170593</v>
      </c>
      <c r="P174" s="89">
        <f>(' Pivot Table for Data Exchange'!$G$328)*100</f>
        <v>0</v>
      </c>
      <c r="Q174" s="23">
        <f t="shared" si="24"/>
        <v>100</v>
      </c>
      <c r="R174" s="23">
        <f t="shared" si="25"/>
        <v>99.999999999999986</v>
      </c>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row>
    <row r="175" spans="1:41" ht="15.75" customHeight="1">
      <c r="A175" s="24" t="s">
        <v>212</v>
      </c>
      <c r="B175" s="89">
        <f>(' Pivot Table for Data Exchange'!$G$331)*100</f>
        <v>84.359996822622932</v>
      </c>
      <c r="C175" s="89">
        <f>(' Pivot Table for Data Exchange'!$G$334)*100</f>
        <v>4.4426086265787585</v>
      </c>
      <c r="D175" s="83">
        <f>SUM(E175:G175)</f>
        <v>11.197394550798316</v>
      </c>
      <c r="E175" s="89">
        <f>(' Pivot Table for Data Exchange'!$G$337)*100</f>
        <v>11.146874255302249</v>
      </c>
      <c r="F175" s="89">
        <f>(' Pivot Table for Data Exchange'!$G$340)*100</f>
        <v>5.0520295496067992E-2</v>
      </c>
      <c r="G175" s="91">
        <f>(' Pivot Table for Data Exchange'!$G$343)*100</f>
        <v>0</v>
      </c>
      <c r="H175" s="89">
        <f>(' Pivot Table for Data Exchange'!$G$346)*100</f>
        <v>0</v>
      </c>
      <c r="I175" s="24" t="s">
        <v>212</v>
      </c>
      <c r="J175" s="89">
        <f>(' Pivot Table for Data Exchange'!$G$349)*100</f>
        <v>63.278551240448024</v>
      </c>
      <c r="K175" s="89">
        <f>(' Pivot Table for Data Exchange'!$G$352)*100</f>
        <v>9.0233434523186435</v>
      </c>
      <c r="L175" s="83">
        <f>SUM(M175:O175)</f>
        <v>27.69810530723333</v>
      </c>
      <c r="M175" s="89">
        <f>(' Pivot Table for Data Exchange'!$G$355)*100</f>
        <v>25.850518161833978</v>
      </c>
      <c r="N175" s="89">
        <f>(' Pivot Table for Data Exchange'!$G$358)*100</f>
        <v>1.8475871453993511</v>
      </c>
      <c r="O175" s="91">
        <f>(' Pivot Table for Data Exchange'!$G$361)*100</f>
        <v>0</v>
      </c>
      <c r="P175" s="89">
        <f>(' Pivot Table for Data Exchange'!$G$364)*100</f>
        <v>0</v>
      </c>
      <c r="Q175" s="23">
        <f t="shared" si="24"/>
        <v>100.00000000000001</v>
      </c>
      <c r="R175" s="23">
        <f t="shared" si="25"/>
        <v>100</v>
      </c>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row>
    <row r="176" spans="1:41" ht="15.75" customHeight="1">
      <c r="A176" s="24" t="s">
        <v>205</v>
      </c>
      <c r="B176" s="89">
        <f>(' Pivot Table for Data Exchange'!$G$367)*100</f>
        <v>85.787859072030017</v>
      </c>
      <c r="C176" s="89">
        <f>(' Pivot Table for Data Exchange'!$G$370)*100</f>
        <v>0.22998766842435753</v>
      </c>
      <c r="D176" s="83">
        <f>SUM(E176:G176)</f>
        <v>13.982153259545623</v>
      </c>
      <c r="E176" s="89">
        <f>(' Pivot Table for Data Exchange'!$G$373)*100</f>
        <v>7.8855887003427121</v>
      </c>
      <c r="F176" s="89">
        <f>(' Pivot Table for Data Exchange'!$G$376)*100</f>
        <v>5.0733463962294127</v>
      </c>
      <c r="G176" s="91">
        <f>(' Pivot Table for Data Exchange'!$G$379)*100</f>
        <v>1.0232181629734984</v>
      </c>
      <c r="H176" s="89">
        <f>(' Pivot Table for Data Exchange'!$G$382)*100</f>
        <v>0</v>
      </c>
      <c r="I176" s="24" t="s">
        <v>205</v>
      </c>
      <c r="J176" s="89">
        <f>(' Pivot Table for Data Exchange'!$G$385)*100</f>
        <v>64.712571912768141</v>
      </c>
      <c r="K176" s="89">
        <f>(' Pivot Table for Data Exchange'!$G$388)*100</f>
        <v>1.4605538955536725</v>
      </c>
      <c r="L176" s="83">
        <f>SUM(M176:O176)</f>
        <v>33.826874191678186</v>
      </c>
      <c r="M176" s="89">
        <f>(' Pivot Table for Data Exchange'!$G$391)*100</f>
        <v>14.565401596574945</v>
      </c>
      <c r="N176" s="89">
        <f>(' Pivot Table for Data Exchange'!$G$394)*100</f>
        <v>17.602461758016322</v>
      </c>
      <c r="O176" s="91">
        <f>(' Pivot Table for Data Exchange'!$G$397)*100</f>
        <v>1.6590108370869197</v>
      </c>
      <c r="P176" s="89">
        <f>(' Pivot Table for Data Exchange'!$G$400)*100</f>
        <v>0</v>
      </c>
      <c r="Q176" s="23">
        <f t="shared" si="24"/>
        <v>100</v>
      </c>
      <c r="R176" s="23">
        <f t="shared" si="25"/>
        <v>100</v>
      </c>
      <c r="S176" s="31"/>
      <c r="T176" s="40"/>
      <c r="U176" s="31"/>
      <c r="V176" s="31"/>
      <c r="W176" s="31"/>
      <c r="X176" s="31"/>
      <c r="Y176" s="31"/>
      <c r="Z176" s="31"/>
      <c r="AA176" s="31"/>
      <c r="AB176" s="31"/>
      <c r="AC176" s="31"/>
      <c r="AD176" s="31"/>
      <c r="AE176" s="31"/>
      <c r="AF176" s="31"/>
      <c r="AG176" s="31"/>
      <c r="AH176" s="31"/>
      <c r="AI176" s="31"/>
      <c r="AJ176" s="31"/>
      <c r="AK176" s="31"/>
      <c r="AL176" s="31"/>
      <c r="AM176" s="31"/>
      <c r="AN176" s="31"/>
      <c r="AO176" s="31"/>
    </row>
    <row r="177" spans="1:41" ht="15.75" customHeight="1">
      <c r="A177" s="24" t="s">
        <v>228</v>
      </c>
      <c r="B177" s="89">
        <f>(' Pivot Table for Data Exchange'!$G$403)*100</f>
        <v>97.876161280090372</v>
      </c>
      <c r="C177" s="89">
        <f>(' Pivot Table for Data Exchange'!$G$406)*100</f>
        <v>0.42220231306410894</v>
      </c>
      <c r="D177" s="83">
        <f>SUM(E177:G177)</f>
        <v>1.7016364068455243</v>
      </c>
      <c r="E177" s="89">
        <f>(' Pivot Table for Data Exchange'!$G$409)*100</f>
        <v>1.5524834465072852</v>
      </c>
      <c r="F177" s="89">
        <f>(' Pivot Table for Data Exchange'!$G$412)*100</f>
        <v>0.14915296033823916</v>
      </c>
      <c r="G177" s="91">
        <f>(' Pivot Table for Data Exchange'!$G$415)*100</f>
        <v>0</v>
      </c>
      <c r="H177" s="89">
        <f>(' Pivot Table for Data Exchange'!$G$418)*100</f>
        <v>0</v>
      </c>
      <c r="I177" s="24" t="s">
        <v>228</v>
      </c>
      <c r="J177" s="89">
        <f>(' Pivot Table for Data Exchange'!$G$421)*100</f>
        <v>70.813889399228373</v>
      </c>
      <c r="K177" s="89">
        <f>(' Pivot Table for Data Exchange'!$G$424)*100</f>
        <v>19.055667830240676</v>
      </c>
      <c r="L177" s="83">
        <f>SUM(M177:O177)</f>
        <v>10.130442770530959</v>
      </c>
      <c r="M177" s="89">
        <f>(' Pivot Table for Data Exchange'!$G$427)*100</f>
        <v>10.130442770530959</v>
      </c>
      <c r="N177" s="89">
        <f>(' Pivot Table for Data Exchange'!$G$430)*100</f>
        <v>0</v>
      </c>
      <c r="O177" s="91">
        <f>(' Pivot Table for Data Exchange'!$G$433)*100</f>
        <v>0</v>
      </c>
      <c r="P177" s="89">
        <f>(' Pivot Table for Data Exchange'!$G$436)*100</f>
        <v>0</v>
      </c>
      <c r="Q177" s="23">
        <f t="shared" si="24"/>
        <v>100</v>
      </c>
      <c r="R177" s="23">
        <f t="shared" si="25"/>
        <v>100.00000000000001</v>
      </c>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row>
    <row r="178" spans="1:41" ht="11.25" customHeight="1">
      <c r="A178" s="24"/>
      <c r="B178" s="89"/>
      <c r="C178" s="89"/>
      <c r="D178" s="83"/>
      <c r="E178" s="89"/>
      <c r="F178" s="89"/>
      <c r="G178" s="91"/>
      <c r="H178" s="89"/>
      <c r="I178" s="24"/>
      <c r="J178" s="89"/>
      <c r="K178" s="89"/>
      <c r="L178" s="83"/>
      <c r="M178" s="89"/>
      <c r="N178" s="89"/>
      <c r="O178" s="91"/>
      <c r="P178" s="89"/>
      <c r="Q178" s="23">
        <f t="shared" si="24"/>
        <v>0</v>
      </c>
      <c r="R178" s="23">
        <f t="shared" si="25"/>
        <v>0</v>
      </c>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row>
    <row r="179" spans="1:41" ht="15.75" customHeight="1">
      <c r="A179" s="24" t="s">
        <v>229</v>
      </c>
      <c r="B179" s="89">
        <f>(' Pivot Table for Data Exchange'!$G$439)*100</f>
        <v>94.272841485075602</v>
      </c>
      <c r="C179" s="89">
        <f>(' Pivot Table for Data Exchange'!$G$442)*100</f>
        <v>1.4252913399471472</v>
      </c>
      <c r="D179" s="83">
        <f>SUM(E179:G179)</f>
        <v>4.195186934107352</v>
      </c>
      <c r="E179" s="89">
        <f>(' Pivot Table for Data Exchange'!$G$445)*100</f>
        <v>3.550231772299961</v>
      </c>
      <c r="F179" s="89">
        <f>(' Pivot Table for Data Exchange'!$G$448)*100</f>
        <v>0.61896200667157641</v>
      </c>
      <c r="G179" s="159">
        <f>(' Pivot Table for Data Exchange'!$G$451)*100</f>
        <v>2.5993155135814232E-2</v>
      </c>
      <c r="H179" s="89">
        <f>(' Pivot Table for Data Exchange'!$G$454)*100</f>
        <v>0.10668024086990427</v>
      </c>
      <c r="I179" s="24" t="s">
        <v>229</v>
      </c>
      <c r="J179" s="89">
        <f>(' Pivot Table for Data Exchange'!$G$457)*100</f>
        <v>35.033471469556901</v>
      </c>
      <c r="K179" s="89">
        <f>(' Pivot Table for Data Exchange'!$G$460)*100</f>
        <v>2.8689831048772714</v>
      </c>
      <c r="L179" s="83">
        <f>SUM(M179:O179)</f>
        <v>62.097545425565826</v>
      </c>
      <c r="M179" s="89">
        <f>(' Pivot Table for Data Exchange'!$G$463)*100</f>
        <v>53.187759005419188</v>
      </c>
      <c r="N179" s="89">
        <f>(' Pivot Table for Data Exchange'!$G$466)*100</f>
        <v>8.9097864201466379</v>
      </c>
      <c r="O179" s="91">
        <f>(' Pivot Table for Data Exchange'!$G$469)*100</f>
        <v>0</v>
      </c>
      <c r="P179" s="89">
        <f>(' Pivot Table for Data Exchange'!$G$472)*100</f>
        <v>0</v>
      </c>
      <c r="Q179" s="23">
        <f t="shared" si="24"/>
        <v>100.00000000000001</v>
      </c>
      <c r="R179" s="23">
        <f t="shared" si="25"/>
        <v>100</v>
      </c>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row>
    <row r="180" spans="1:41" ht="15.75" customHeight="1">
      <c r="A180" s="24" t="s">
        <v>213</v>
      </c>
      <c r="B180" s="89">
        <f>(' Pivot Table for Data Exchange'!$G$475)*100</f>
        <v>76.016245540487958</v>
      </c>
      <c r="C180" s="89">
        <f>(' Pivot Table for Data Exchange'!$G$478)*100</f>
        <v>6.2657166121115608</v>
      </c>
      <c r="D180" s="83">
        <f>SUM(E180:G180)</f>
        <v>17.718037847400485</v>
      </c>
      <c r="E180" s="89">
        <f>(' Pivot Table for Data Exchange'!$G$481)*100</f>
        <v>14.977420399140634</v>
      </c>
      <c r="F180" s="89">
        <f>(' Pivot Table for Data Exchange'!$G$484)*100</f>
        <v>2.1268316290993994</v>
      </c>
      <c r="G180" s="91">
        <f>(' Pivot Table for Data Exchange'!$G$487)*100</f>
        <v>0.61378581916045083</v>
      </c>
      <c r="H180" s="89">
        <f>(' Pivot Table for Data Exchange'!$G$490)*100</f>
        <v>0</v>
      </c>
      <c r="I180" s="24" t="s">
        <v>213</v>
      </c>
      <c r="J180" s="89">
        <f>(' Pivot Table for Data Exchange'!$G$493)*100</f>
        <v>19.453639372885672</v>
      </c>
      <c r="K180" s="89">
        <f>(' Pivot Table for Data Exchange'!$G$496)*100</f>
        <v>17.427521734385799</v>
      </c>
      <c r="L180" s="83">
        <f>SUM(M180:O180)</f>
        <v>63.118838892728526</v>
      </c>
      <c r="M180" s="89">
        <f>(' Pivot Table for Data Exchange'!$G$499)*100</f>
        <v>58.120839547488266</v>
      </c>
      <c r="N180" s="89">
        <f>(' Pivot Table for Data Exchange'!$G$502)*100</f>
        <v>0.99305227165254095</v>
      </c>
      <c r="O180" s="91">
        <f>(' Pivot Table for Data Exchange'!$G$505)*100</f>
        <v>4.0049470735877195</v>
      </c>
      <c r="P180" s="89">
        <f>(' Pivot Table for Data Exchange'!$G$508)*100</f>
        <v>0</v>
      </c>
      <c r="Q180" s="23">
        <f t="shared" si="24"/>
        <v>100</v>
      </c>
      <c r="R180" s="23">
        <f t="shared" si="25"/>
        <v>100</v>
      </c>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row>
    <row r="181" spans="1:41" ht="15.75" customHeight="1">
      <c r="A181" s="24" t="s">
        <v>230</v>
      </c>
      <c r="B181" s="89">
        <f>(' Pivot Table for Data Exchange'!$G$511)*100</f>
        <v>0</v>
      </c>
      <c r="C181" s="89">
        <f>(' Pivot Table for Data Exchange'!$G$514)*100</f>
        <v>0</v>
      </c>
      <c r="D181" s="83">
        <f>SUM(E181:G181)</f>
        <v>0</v>
      </c>
      <c r="E181" s="89">
        <f>(' Pivot Table for Data Exchange'!$G$517)*100</f>
        <v>0</v>
      </c>
      <c r="F181" s="89">
        <f>(' Pivot Table for Data Exchange'!$G$520)*100</f>
        <v>0</v>
      </c>
      <c r="G181" s="91">
        <f>(' Pivot Table for Data Exchange'!$G$523)*100</f>
        <v>0</v>
      </c>
      <c r="H181" s="89">
        <f>(' Pivot Table for Data Exchange'!$G$526)*100</f>
        <v>0</v>
      </c>
      <c r="I181" s="24" t="s">
        <v>230</v>
      </c>
      <c r="J181" s="89">
        <f>(' Pivot Table for Data Exchange'!$G$529)*100</f>
        <v>0</v>
      </c>
      <c r="K181" s="89">
        <f>(' Pivot Table for Data Exchange'!$G$532)*100</f>
        <v>0</v>
      </c>
      <c r="L181" s="83">
        <f>SUM(M181:O181)</f>
        <v>0</v>
      </c>
      <c r="M181" s="89">
        <f>(' Pivot Table for Data Exchange'!$G$535)*100</f>
        <v>0</v>
      </c>
      <c r="N181" s="89">
        <f>(' Pivot Table for Data Exchange'!$G$538)*100</f>
        <v>0</v>
      </c>
      <c r="O181" s="91">
        <f>(' Pivot Table for Data Exchange'!$G$541)*100</f>
        <v>0</v>
      </c>
      <c r="P181" s="89">
        <f>(' Pivot Table for Data Exchange'!$G$544)*100</f>
        <v>0</v>
      </c>
      <c r="Q181" s="23">
        <f t="shared" si="24"/>
        <v>0</v>
      </c>
      <c r="R181" s="23">
        <f t="shared" si="25"/>
        <v>0</v>
      </c>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row>
    <row r="182" spans="1:41" ht="15.75" customHeight="1">
      <c r="A182" s="18" t="s">
        <v>206</v>
      </c>
      <c r="B182" s="92">
        <f>(' Pivot Table for Data Exchange'!$G$547)*100</f>
        <v>0</v>
      </c>
      <c r="C182" s="92">
        <f>(' Pivot Table for Data Exchange'!$G$550)*100</f>
        <v>0</v>
      </c>
      <c r="D182" s="84">
        <f>SUM(E182:G182)</f>
        <v>0</v>
      </c>
      <c r="E182" s="92">
        <f>(' Pivot Table for Data Exchange'!$G$553)*100</f>
        <v>0</v>
      </c>
      <c r="F182" s="92">
        <f>(' Pivot Table for Data Exchange'!$G$556)*100</f>
        <v>0</v>
      </c>
      <c r="G182" s="93">
        <f>(' Pivot Table for Data Exchange'!$G$559)*100</f>
        <v>0</v>
      </c>
      <c r="H182" s="92">
        <f>(' Pivot Table for Data Exchange'!$G$562)*100</f>
        <v>0</v>
      </c>
      <c r="I182" s="18" t="s">
        <v>206</v>
      </c>
      <c r="J182" s="92">
        <f>(' Pivot Table for Data Exchange'!$G$565)*100</f>
        <v>0</v>
      </c>
      <c r="K182" s="92">
        <f>(' Pivot Table for Data Exchange'!$G$568)*100</f>
        <v>0</v>
      </c>
      <c r="L182" s="84">
        <f>SUM(M182:O182)</f>
        <v>0</v>
      </c>
      <c r="M182" s="92">
        <f>(' Pivot Table for Data Exchange'!$G$571)*100</f>
        <v>0</v>
      </c>
      <c r="N182" s="92">
        <f>(' Pivot Table for Data Exchange'!$G$574)*100</f>
        <v>0</v>
      </c>
      <c r="O182" s="93">
        <f>(' Pivot Table for Data Exchange'!$G$577)*100</f>
        <v>0</v>
      </c>
      <c r="P182" s="92">
        <f>(' Pivot Table for Data Exchange'!$G$580)*100</f>
        <v>0</v>
      </c>
      <c r="Q182" s="23">
        <f t="shared" si="24"/>
        <v>0</v>
      </c>
      <c r="R182" s="23">
        <f t="shared" si="25"/>
        <v>0</v>
      </c>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row>
    <row r="183" spans="1:41" s="45" customFormat="1" ht="18" customHeight="1">
      <c r="A183" s="85" t="s">
        <v>35</v>
      </c>
      <c r="B183" s="49"/>
      <c r="C183" s="49"/>
      <c r="D183" s="50"/>
      <c r="E183" s="49"/>
      <c r="F183" s="50"/>
      <c r="G183" s="50"/>
      <c r="H183" s="49"/>
      <c r="I183" s="85" t="s">
        <v>35</v>
      </c>
      <c r="J183" s="49"/>
      <c r="K183" s="49"/>
      <c r="L183" s="50"/>
      <c r="M183" s="49"/>
      <c r="N183" s="50"/>
      <c r="O183" s="50"/>
      <c r="P183" s="49"/>
      <c r="Q183" s="23">
        <f t="shared" si="24"/>
        <v>0</v>
      </c>
      <c r="R183" s="23">
        <f t="shared" si="25"/>
        <v>0</v>
      </c>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row>
    <row r="184" spans="1:41" s="45" customFormat="1" ht="25.5" customHeight="1">
      <c r="A184" s="601" t="s">
        <v>897</v>
      </c>
      <c r="B184" s="602"/>
      <c r="C184" s="602"/>
      <c r="D184" s="602"/>
      <c r="E184" s="602"/>
      <c r="F184" s="602"/>
      <c r="G184" s="602"/>
      <c r="H184" s="602"/>
      <c r="I184" s="601" t="s">
        <v>897</v>
      </c>
      <c r="J184" s="602"/>
      <c r="K184" s="602"/>
      <c r="L184" s="602"/>
      <c r="M184" s="602"/>
      <c r="N184" s="602"/>
      <c r="O184" s="602"/>
      <c r="P184" s="602"/>
      <c r="Q184" s="23">
        <f t="shared" si="24"/>
        <v>0</v>
      </c>
      <c r="R184" s="23">
        <f t="shared" si="25"/>
        <v>0</v>
      </c>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row>
    <row r="185" spans="1:41" s="45" customFormat="1" ht="16.5" customHeight="1">
      <c r="A185" s="103"/>
      <c r="B185" s="102"/>
      <c r="C185" s="102"/>
      <c r="D185" s="102"/>
      <c r="E185" s="102"/>
      <c r="F185" s="102"/>
      <c r="G185" s="152"/>
      <c r="H185" s="152"/>
      <c r="I185" s="103"/>
      <c r="J185" s="102"/>
      <c r="K185" s="102"/>
      <c r="L185" s="102"/>
      <c r="M185" s="102"/>
      <c r="N185" s="102"/>
      <c r="O185" s="102"/>
      <c r="P185" s="152"/>
      <c r="Q185" s="23">
        <f t="shared" si="24"/>
        <v>0</v>
      </c>
      <c r="R185" s="23">
        <f t="shared" si="25"/>
        <v>0</v>
      </c>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row>
    <row r="186" spans="1:41" s="45" customFormat="1" ht="13.5" customHeight="1">
      <c r="A186" s="85"/>
      <c r="B186" s="44"/>
      <c r="H186" s="572" t="s">
        <v>889</v>
      </c>
      <c r="I186" s="85"/>
      <c r="P186" s="572" t="s">
        <v>889</v>
      </c>
      <c r="Q186" s="23">
        <f t="shared" si="24"/>
        <v>0</v>
      </c>
      <c r="R186" s="23">
        <f t="shared" si="25"/>
        <v>0</v>
      </c>
    </row>
    <row r="187" spans="1:41" ht="18">
      <c r="A187" s="15" t="s">
        <v>5</v>
      </c>
      <c r="B187" s="16"/>
      <c r="C187" s="16"/>
      <c r="D187" s="16"/>
      <c r="E187" s="16"/>
      <c r="F187" s="16"/>
      <c r="G187" s="16"/>
      <c r="H187" s="30"/>
      <c r="I187" s="15" t="s">
        <v>27</v>
      </c>
      <c r="J187" s="17"/>
      <c r="K187" s="17"/>
      <c r="L187" s="16"/>
      <c r="M187" s="17"/>
      <c r="N187" s="17"/>
      <c r="O187" s="17"/>
      <c r="P187" s="17"/>
      <c r="Q187" s="23">
        <f t="shared" si="24"/>
        <v>0</v>
      </c>
      <c r="R187" s="23">
        <f t="shared" si="25"/>
        <v>0</v>
      </c>
    </row>
    <row r="188" spans="1:41">
      <c r="A188" s="58"/>
      <c r="B188" s="17"/>
      <c r="C188" s="17"/>
      <c r="D188" s="17"/>
      <c r="E188" s="17"/>
      <c r="F188" s="17"/>
      <c r="G188" s="17"/>
      <c r="H188" s="27"/>
      <c r="I188" s="58"/>
      <c r="J188" s="17"/>
      <c r="K188" s="17"/>
      <c r="L188" s="17"/>
      <c r="M188" s="17"/>
      <c r="N188" s="17"/>
      <c r="O188" s="17"/>
      <c r="P188" s="17"/>
      <c r="Q188" s="23">
        <f t="shared" si="24"/>
        <v>0</v>
      </c>
      <c r="R188" s="23">
        <f t="shared" si="25"/>
        <v>0</v>
      </c>
    </row>
    <row r="189" spans="1:41" ht="15.75">
      <c r="A189" s="26" t="s">
        <v>23</v>
      </c>
      <c r="B189" s="17"/>
      <c r="C189" s="17"/>
      <c r="D189" s="17"/>
      <c r="E189" s="17"/>
      <c r="F189" s="17"/>
      <c r="G189" s="17"/>
      <c r="H189" s="27"/>
      <c r="I189" s="26" t="s">
        <v>24</v>
      </c>
      <c r="J189" s="17"/>
      <c r="K189" s="17"/>
      <c r="L189" s="17"/>
      <c r="M189" s="17"/>
      <c r="N189" s="17"/>
      <c r="O189" s="17"/>
      <c r="P189" s="17"/>
      <c r="Q189" s="23">
        <f t="shared" si="24"/>
        <v>0</v>
      </c>
      <c r="R189" s="23">
        <f t="shared" si="25"/>
        <v>0</v>
      </c>
    </row>
    <row r="190" spans="1:41" ht="15.75">
      <c r="A190" s="26" t="s">
        <v>758</v>
      </c>
      <c r="B190" s="17"/>
      <c r="C190" s="17"/>
      <c r="D190" s="17"/>
      <c r="E190" s="17"/>
      <c r="F190" s="17"/>
      <c r="G190" s="17"/>
      <c r="H190" s="27"/>
      <c r="I190" s="26" t="s">
        <v>758</v>
      </c>
      <c r="J190" s="17"/>
      <c r="K190" s="17"/>
      <c r="L190" s="17"/>
      <c r="M190" s="17"/>
      <c r="N190" s="17"/>
      <c r="O190" s="17"/>
      <c r="P190" s="17"/>
      <c r="Q190" s="23">
        <f t="shared" si="24"/>
        <v>0</v>
      </c>
      <c r="R190" s="23">
        <f t="shared" si="25"/>
        <v>0</v>
      </c>
    </row>
    <row r="191" spans="1:41">
      <c r="A191" s="18"/>
      <c r="B191" s="19"/>
      <c r="C191" s="19"/>
      <c r="D191" s="19"/>
      <c r="E191" s="19"/>
      <c r="F191" s="19"/>
      <c r="G191" s="19"/>
      <c r="H191" s="19"/>
      <c r="I191" s="20"/>
      <c r="L191" s="21"/>
      <c r="P191" s="18"/>
      <c r="Q191" s="23">
        <f t="shared" si="24"/>
        <v>0</v>
      </c>
      <c r="R191" s="23">
        <f t="shared" si="25"/>
        <v>0</v>
      </c>
    </row>
    <row r="192" spans="1:41" s="67" customFormat="1">
      <c r="A192" s="63"/>
      <c r="B192" s="64" t="s">
        <v>215</v>
      </c>
      <c r="C192" s="64"/>
      <c r="D192" s="64"/>
      <c r="E192" s="64"/>
      <c r="F192" s="64"/>
      <c r="G192" s="64"/>
      <c r="H192" s="65"/>
      <c r="I192" s="63"/>
      <c r="J192" s="64" t="s">
        <v>215</v>
      </c>
      <c r="K192" s="64"/>
      <c r="L192" s="64"/>
      <c r="M192" s="64"/>
      <c r="N192" s="64"/>
      <c r="O192" s="64"/>
      <c r="P192" s="65"/>
      <c r="Q192" s="23">
        <f t="shared" si="24"/>
        <v>0</v>
      </c>
      <c r="R192" s="23">
        <f t="shared" si="25"/>
        <v>0</v>
      </c>
    </row>
    <row r="193" spans="1:41" s="67" customFormat="1">
      <c r="A193" s="63"/>
      <c r="B193" s="64" t="s">
        <v>209</v>
      </c>
      <c r="C193" s="64"/>
      <c r="D193" s="597" t="s">
        <v>30</v>
      </c>
      <c r="E193" s="598"/>
      <c r="F193" s="598"/>
      <c r="G193" s="598"/>
      <c r="H193" s="68" t="s">
        <v>196</v>
      </c>
      <c r="I193" s="63"/>
      <c r="J193" s="64" t="s">
        <v>209</v>
      </c>
      <c r="K193" s="64"/>
      <c r="L193" s="597" t="s">
        <v>30</v>
      </c>
      <c r="M193" s="598"/>
      <c r="N193" s="598"/>
      <c r="O193" s="598"/>
      <c r="P193" s="68" t="s">
        <v>196</v>
      </c>
      <c r="Q193" s="23">
        <f t="shared" si="24"/>
        <v>0</v>
      </c>
      <c r="R193" s="23">
        <f t="shared" si="25"/>
        <v>0</v>
      </c>
    </row>
    <row r="194" spans="1:41" s="67" customFormat="1" ht="40.5" customHeight="1">
      <c r="A194" s="63"/>
      <c r="B194" s="69" t="s">
        <v>22</v>
      </c>
      <c r="C194" s="70" t="s">
        <v>21</v>
      </c>
      <c r="D194" s="71" t="s">
        <v>28</v>
      </c>
      <c r="E194" s="72" t="s">
        <v>195</v>
      </c>
      <c r="F194" s="69" t="s">
        <v>210</v>
      </c>
      <c r="G194" s="73" t="s">
        <v>32</v>
      </c>
      <c r="H194" s="74" t="s">
        <v>31</v>
      </c>
      <c r="I194" s="63"/>
      <c r="J194" s="69" t="s">
        <v>22</v>
      </c>
      <c r="K194" s="70" t="s">
        <v>21</v>
      </c>
      <c r="L194" s="71" t="s">
        <v>28</v>
      </c>
      <c r="M194" s="72" t="s">
        <v>195</v>
      </c>
      <c r="N194" s="69" t="s">
        <v>210</v>
      </c>
      <c r="O194" s="73" t="s">
        <v>32</v>
      </c>
      <c r="P194" s="74" t="s">
        <v>31</v>
      </c>
      <c r="Q194" s="23">
        <f t="shared" si="24"/>
        <v>0</v>
      </c>
      <c r="R194" s="23">
        <f t="shared" si="25"/>
        <v>0</v>
      </c>
      <c r="T194" s="75"/>
    </row>
    <row r="195" spans="1:41" ht="15.75" customHeight="1">
      <c r="A195" s="25" t="s">
        <v>220</v>
      </c>
      <c r="B195" s="89">
        <f>(' Pivot Table for Data Exchange'!$H$7)*100</f>
        <v>25.940193999322382</v>
      </c>
      <c r="C195" s="89">
        <f>(' Pivot Table for Data Exchange'!$H$10)*100</f>
        <v>5.456074086157785</v>
      </c>
      <c r="D195" s="83">
        <f>SUM(E195:G195)</f>
        <v>68.603731914519827</v>
      </c>
      <c r="E195" s="89">
        <f>(' Pivot Table for Data Exchange'!$H$13)*100</f>
        <v>68.603731914519827</v>
      </c>
      <c r="F195" s="89">
        <f>(' Pivot Table for Data Exchange'!$H$16)*100</f>
        <v>0</v>
      </c>
      <c r="G195" s="90">
        <f>(' Pivot Table for Data Exchange'!$H$19)*100</f>
        <v>0</v>
      </c>
      <c r="H195" s="89">
        <f>(' Pivot Table for Data Exchange'!$H$22)*100</f>
        <v>0</v>
      </c>
      <c r="I195" s="25" t="s">
        <v>220</v>
      </c>
      <c r="J195" s="89">
        <f>(' Pivot Table for Data Exchange'!$H$25)*100</f>
        <v>0</v>
      </c>
      <c r="K195" s="89">
        <f>(' Pivot Table for Data Exchange'!$H$28)*100</f>
        <v>0</v>
      </c>
      <c r="L195" s="83">
        <f>SUM(M195:O195)</f>
        <v>0</v>
      </c>
      <c r="M195" s="89">
        <f>(' Pivot Table for Data Exchange'!$H$31)*100</f>
        <v>0</v>
      </c>
      <c r="N195" s="89">
        <f>(' Pivot Table for Data Exchange'!$H$34)*100</f>
        <v>0</v>
      </c>
      <c r="O195" s="90">
        <f>(' Pivot Table for Data Exchange'!$H$37)*100</f>
        <v>0</v>
      </c>
      <c r="P195" s="89">
        <f>(' Pivot Table for Data Exchange'!$H$40)*100</f>
        <v>0</v>
      </c>
      <c r="Q195" s="23">
        <f t="shared" si="24"/>
        <v>100</v>
      </c>
      <c r="R195" s="23">
        <f t="shared" si="25"/>
        <v>0</v>
      </c>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row>
    <row r="196" spans="1:41" ht="15.75" customHeight="1">
      <c r="A196" s="24" t="s">
        <v>221</v>
      </c>
      <c r="B196" s="89">
        <f>(' Pivot Table for Data Exchange'!$H$43)*100</f>
        <v>87.433175302626807</v>
      </c>
      <c r="C196" s="89">
        <f>(' Pivot Table for Data Exchange'!$H$46)*100</f>
        <v>2.8282321658168037</v>
      </c>
      <c r="D196" s="83">
        <f>SUM(E196:G196)</f>
        <v>9.7385925315563835</v>
      </c>
      <c r="E196" s="89">
        <f>(' Pivot Table for Data Exchange'!$H$49)*100</f>
        <v>7.9548756652615076</v>
      </c>
      <c r="F196" s="89">
        <f>(' Pivot Table for Data Exchange'!$H$52)*100</f>
        <v>1.7837168662948766</v>
      </c>
      <c r="G196" s="91">
        <f>(' Pivot Table for Data Exchange'!$H$55)*100</f>
        <v>0</v>
      </c>
      <c r="H196" s="89">
        <f>(' Pivot Table for Data Exchange'!$H$58)*100</f>
        <v>0</v>
      </c>
      <c r="I196" s="24" t="s">
        <v>221</v>
      </c>
      <c r="J196" s="89">
        <f>(' Pivot Table for Data Exchange'!$H$61)*100</f>
        <v>84.799608993157378</v>
      </c>
      <c r="K196" s="89">
        <f>(' Pivot Table for Data Exchange'!$H$64)*100</f>
        <v>0</v>
      </c>
      <c r="L196" s="83">
        <f>SUM(M196:O196)</f>
        <v>15.20039100684262</v>
      </c>
      <c r="M196" s="89">
        <f>(' Pivot Table for Data Exchange'!$H$67)*100</f>
        <v>0</v>
      </c>
      <c r="N196" s="89">
        <f>(' Pivot Table for Data Exchange'!$H$70)*100</f>
        <v>15.20039100684262</v>
      </c>
      <c r="O196" s="91">
        <f>(' Pivot Table for Data Exchange'!$H$73)*100</f>
        <v>0</v>
      </c>
      <c r="P196" s="89">
        <f>(' Pivot Table for Data Exchange'!$H$76)*100</f>
        <v>0</v>
      </c>
      <c r="Q196" s="23">
        <f t="shared" si="24"/>
        <v>99.999999999999986</v>
      </c>
      <c r="R196" s="23">
        <f t="shared" si="25"/>
        <v>100</v>
      </c>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row>
    <row r="197" spans="1:41" ht="15.75" customHeight="1">
      <c r="A197" s="24" t="s">
        <v>222</v>
      </c>
      <c r="B197" s="89">
        <f>(' Pivot Table for Data Exchange'!$H$79)*100</f>
        <v>0</v>
      </c>
      <c r="C197" s="89">
        <f>(' Pivot Table for Data Exchange'!$H$82)*100</f>
        <v>0</v>
      </c>
      <c r="D197" s="83">
        <f>SUM(E197:G197)</f>
        <v>0</v>
      </c>
      <c r="E197" s="89">
        <f>(' Pivot Table for Data Exchange'!$H$85)*100</f>
        <v>0</v>
      </c>
      <c r="F197" s="89">
        <f>(' Pivot Table for Data Exchange'!$H$88)*100</f>
        <v>0</v>
      </c>
      <c r="G197" s="91">
        <f>(' Pivot Table for Data Exchange'!$H$91)*100</f>
        <v>0</v>
      </c>
      <c r="H197" s="89">
        <f>(' Pivot Table for Data Exchange'!$H$94)*100</f>
        <v>0</v>
      </c>
      <c r="I197" s="24" t="s">
        <v>222</v>
      </c>
      <c r="J197" s="89">
        <f>(' Pivot Table for Data Exchange'!$H$97)*100</f>
        <v>0</v>
      </c>
      <c r="K197" s="89">
        <f>(' Pivot Table for Data Exchange'!$H$100)*100</f>
        <v>0</v>
      </c>
      <c r="L197" s="83">
        <f>SUM(M197:O197)</f>
        <v>0</v>
      </c>
      <c r="M197" s="89">
        <f>(' Pivot Table for Data Exchange'!$H$103)*100</f>
        <v>0</v>
      </c>
      <c r="N197" s="89">
        <f>(' Pivot Table for Data Exchange'!$H$106)*100</f>
        <v>0</v>
      </c>
      <c r="O197" s="91">
        <f>(' Pivot Table for Data Exchange'!$H$109)*100</f>
        <v>0</v>
      </c>
      <c r="P197" s="89">
        <f>(' Pivot Table for Data Exchange'!$H$112)*100</f>
        <v>0</v>
      </c>
      <c r="Q197" s="23">
        <f t="shared" si="24"/>
        <v>0</v>
      </c>
      <c r="R197" s="23">
        <f t="shared" si="25"/>
        <v>0</v>
      </c>
      <c r="S197" s="31"/>
      <c r="T197" s="40"/>
      <c r="U197" s="31"/>
      <c r="V197" s="31"/>
      <c r="W197" s="31"/>
      <c r="X197" s="31"/>
      <c r="Y197" s="31"/>
      <c r="Z197" s="31"/>
      <c r="AA197" s="31"/>
      <c r="AB197" s="31"/>
      <c r="AC197" s="31"/>
      <c r="AD197" s="31"/>
      <c r="AE197" s="31"/>
      <c r="AF197" s="31"/>
      <c r="AG197" s="31"/>
      <c r="AH197" s="31"/>
      <c r="AI197" s="31"/>
      <c r="AJ197" s="31"/>
      <c r="AK197" s="31"/>
      <c r="AL197" s="31"/>
      <c r="AM197" s="31"/>
      <c r="AN197" s="31"/>
      <c r="AO197" s="31"/>
    </row>
    <row r="198" spans="1:41" ht="15.75" customHeight="1">
      <c r="A198" s="24" t="s">
        <v>111</v>
      </c>
      <c r="B198" s="89">
        <f>(' Pivot Table for Data Exchange'!$H$115)*100</f>
        <v>100</v>
      </c>
      <c r="C198" s="89">
        <f>(' Pivot Table for Data Exchange'!$H$118)*100</f>
        <v>0</v>
      </c>
      <c r="D198" s="83">
        <f>SUM(E198:G198)</f>
        <v>0</v>
      </c>
      <c r="E198" s="89">
        <f>(' Pivot Table for Data Exchange'!$H$121)*100</f>
        <v>0</v>
      </c>
      <c r="F198" s="89">
        <f>(' Pivot Table for Data Exchange'!$H$124)*100</f>
        <v>0</v>
      </c>
      <c r="G198" s="91">
        <f>(' Pivot Table for Data Exchange'!$H$127)*100</f>
        <v>0</v>
      </c>
      <c r="H198" s="89">
        <f>(' Pivot Table for Data Exchange'!$H$130)*100</f>
        <v>0</v>
      </c>
      <c r="I198" s="24" t="s">
        <v>111</v>
      </c>
      <c r="J198" s="89">
        <f>(' Pivot Table for Data Exchange'!$H$133)*100</f>
        <v>0</v>
      </c>
      <c r="K198" s="89">
        <f>(' Pivot Table for Data Exchange'!$H$136)*100</f>
        <v>0</v>
      </c>
      <c r="L198" s="83">
        <f>SUM(M198:O198)</f>
        <v>0</v>
      </c>
      <c r="M198" s="89">
        <f>(' Pivot Table for Data Exchange'!$H$139)*100</f>
        <v>0</v>
      </c>
      <c r="N198" s="89">
        <f>(' Pivot Table for Data Exchange'!$H$142)*100</f>
        <v>0</v>
      </c>
      <c r="O198" s="91">
        <f>(' Pivot Table for Data Exchange'!$H$145)*100</f>
        <v>0</v>
      </c>
      <c r="P198" s="89">
        <f>(' Pivot Table for Data Exchange'!$H$148)*100</f>
        <v>0</v>
      </c>
      <c r="Q198" s="23">
        <f t="shared" si="24"/>
        <v>100</v>
      </c>
      <c r="R198" s="23">
        <f t="shared" si="25"/>
        <v>0</v>
      </c>
      <c r="S198" s="31"/>
      <c r="U198" s="31"/>
      <c r="V198" s="31"/>
      <c r="W198" s="31"/>
      <c r="X198" s="31"/>
      <c r="Y198" s="31"/>
      <c r="Z198" s="31"/>
      <c r="AA198" s="31"/>
      <c r="AB198" s="31"/>
      <c r="AC198" s="31"/>
      <c r="AD198" s="31"/>
      <c r="AE198" s="31"/>
      <c r="AF198" s="31"/>
      <c r="AG198" s="31"/>
      <c r="AH198" s="31"/>
      <c r="AI198" s="31"/>
      <c r="AJ198" s="31"/>
      <c r="AK198" s="31"/>
      <c r="AL198" s="31"/>
      <c r="AM198" s="31"/>
      <c r="AN198" s="31"/>
      <c r="AO198" s="31"/>
    </row>
    <row r="199" spans="1:41" ht="15.75" customHeight="1">
      <c r="A199" s="24"/>
      <c r="B199" s="89"/>
      <c r="C199" s="89"/>
      <c r="D199" s="83"/>
      <c r="E199" s="89"/>
      <c r="F199" s="89"/>
      <c r="G199" s="91"/>
      <c r="H199" s="89"/>
      <c r="I199" s="24"/>
      <c r="J199" s="89"/>
      <c r="K199" s="89"/>
      <c r="L199" s="83"/>
      <c r="M199" s="89"/>
      <c r="N199" s="89"/>
      <c r="O199" s="91"/>
      <c r="P199" s="89"/>
      <c r="Q199" s="23">
        <f t="shared" si="24"/>
        <v>0</v>
      </c>
      <c r="R199" s="23">
        <f t="shared" si="25"/>
        <v>0</v>
      </c>
      <c r="S199" s="31"/>
      <c r="U199" s="31"/>
      <c r="V199" s="31"/>
      <c r="W199" s="31"/>
      <c r="X199" s="31"/>
      <c r="Y199" s="31"/>
      <c r="Z199" s="31"/>
      <c r="AA199" s="31"/>
      <c r="AB199" s="31"/>
      <c r="AC199" s="31"/>
      <c r="AD199" s="31"/>
      <c r="AE199" s="31"/>
      <c r="AF199" s="31"/>
      <c r="AG199" s="31"/>
      <c r="AH199" s="31"/>
      <c r="AI199" s="31"/>
      <c r="AJ199" s="31"/>
      <c r="AK199" s="31"/>
      <c r="AL199" s="31"/>
      <c r="AM199" s="31"/>
      <c r="AN199" s="31"/>
      <c r="AO199" s="31"/>
    </row>
    <row r="200" spans="1:41" ht="15.75" customHeight="1">
      <c r="A200" s="24" t="s">
        <v>224</v>
      </c>
      <c r="B200" s="89">
        <f>(' Pivot Table for Data Exchange'!$H$151)*100</f>
        <v>81.919247729216309</v>
      </c>
      <c r="C200" s="89">
        <f>(' Pivot Table for Data Exchange'!$H$154)*100</f>
        <v>10.158963656903147</v>
      </c>
      <c r="D200" s="83">
        <f>SUM(E200:G200)</f>
        <v>7.9217886138805493</v>
      </c>
      <c r="E200" s="89">
        <f>(' Pivot Table for Data Exchange'!$H$157)*100</f>
        <v>7.9217886138805493</v>
      </c>
      <c r="F200" s="89">
        <f>(' Pivot Table for Data Exchange'!$H$160)*100</f>
        <v>0</v>
      </c>
      <c r="G200" s="91">
        <f>(' Pivot Table for Data Exchange'!$H$163)*100</f>
        <v>0</v>
      </c>
      <c r="H200" s="89">
        <f>(' Pivot Table for Data Exchange'!$H$166)*100</f>
        <v>0</v>
      </c>
      <c r="I200" s="24" t="s">
        <v>224</v>
      </c>
      <c r="J200" s="89">
        <f>(' Pivot Table for Data Exchange'!$H$169)*100</f>
        <v>97.880184331797238</v>
      </c>
      <c r="K200" s="89">
        <f>(' Pivot Table for Data Exchange'!$H$172)*100</f>
        <v>0</v>
      </c>
      <c r="L200" s="83">
        <f>SUM(M200:O200)</f>
        <v>2.1198156682027647</v>
      </c>
      <c r="M200" s="89">
        <f>(' Pivot Table for Data Exchange'!$H$175)*100</f>
        <v>2.1198156682027647</v>
      </c>
      <c r="N200" s="89">
        <f>(' Pivot Table for Data Exchange'!$H$178)*100</f>
        <v>0</v>
      </c>
      <c r="O200" s="91">
        <f>(' Pivot Table for Data Exchange'!$H$181)*100</f>
        <v>0</v>
      </c>
      <c r="P200" s="89">
        <f>(' Pivot Table for Data Exchange'!$H$184)*100</f>
        <v>0</v>
      </c>
      <c r="Q200" s="23">
        <f t="shared" si="24"/>
        <v>100</v>
      </c>
      <c r="R200" s="23">
        <f t="shared" si="25"/>
        <v>100</v>
      </c>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row>
    <row r="201" spans="1:41" ht="15.75" customHeight="1">
      <c r="A201" s="24" t="s">
        <v>225</v>
      </c>
      <c r="B201" s="89">
        <f>(' Pivot Table for Data Exchange'!$H$187)*100</f>
        <v>0</v>
      </c>
      <c r="C201" s="89">
        <f>(' Pivot Table for Data Exchange'!$H$190)*100</f>
        <v>0</v>
      </c>
      <c r="D201" s="83">
        <f>SUM(E201:G201)</f>
        <v>0</v>
      </c>
      <c r="E201" s="89">
        <f>(' Pivot Table for Data Exchange'!$H$193)*100</f>
        <v>0</v>
      </c>
      <c r="F201" s="89">
        <f>(' Pivot Table for Data Exchange'!$H$196)*100</f>
        <v>0</v>
      </c>
      <c r="G201" s="91">
        <f>(' Pivot Table for Data Exchange'!$H$199)*100</f>
        <v>0</v>
      </c>
      <c r="H201" s="89">
        <f>(' Pivot Table for Data Exchange'!$H$202)*100</f>
        <v>0</v>
      </c>
      <c r="I201" s="24" t="s">
        <v>225</v>
      </c>
      <c r="J201" s="89">
        <f>(' Pivot Table for Data Exchange'!$H$205)*100</f>
        <v>0</v>
      </c>
      <c r="K201" s="89">
        <f>(' Pivot Table for Data Exchange'!$H$208)*100</f>
        <v>0</v>
      </c>
      <c r="L201" s="83">
        <f>SUM(M201:O201)</f>
        <v>0</v>
      </c>
      <c r="M201" s="89">
        <f>(' Pivot Table for Data Exchange'!$H$211)*100</f>
        <v>0</v>
      </c>
      <c r="N201" s="89">
        <f>(' Pivot Table for Data Exchange'!$H$214)*100</f>
        <v>0</v>
      </c>
      <c r="O201" s="91">
        <f>(' Pivot Table for Data Exchange'!$H$217)*100</f>
        <v>0</v>
      </c>
      <c r="P201" s="89">
        <f>(' Pivot Table for Data Exchange'!$H$220)*100</f>
        <v>0</v>
      </c>
      <c r="Q201" s="23">
        <f t="shared" si="24"/>
        <v>0</v>
      </c>
      <c r="R201" s="23">
        <f t="shared" si="25"/>
        <v>0</v>
      </c>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row>
    <row r="202" spans="1:41" ht="15.75" customHeight="1">
      <c r="A202" s="24" t="s">
        <v>226</v>
      </c>
      <c r="B202" s="89">
        <f>(' Pivot Table for Data Exchange'!$H$223)*100</f>
        <v>0</v>
      </c>
      <c r="C202" s="89">
        <f>(' Pivot Table for Data Exchange'!$H$226)*100</f>
        <v>0</v>
      </c>
      <c r="D202" s="83">
        <f>SUM(E202:G202)</f>
        <v>0</v>
      </c>
      <c r="E202" s="89">
        <f>(' Pivot Table for Data Exchange'!$H$229)*100</f>
        <v>0</v>
      </c>
      <c r="F202" s="89">
        <f>(' Pivot Table for Data Exchange'!$H$232)*100</f>
        <v>0</v>
      </c>
      <c r="G202" s="91">
        <f>(' Pivot Table for Data Exchange'!$H$235)*100</f>
        <v>0</v>
      </c>
      <c r="H202" s="89">
        <f>(' Pivot Table for Data Exchange'!$H$238)*100</f>
        <v>0</v>
      </c>
      <c r="I202" s="24" t="s">
        <v>226</v>
      </c>
      <c r="J202" s="89">
        <f>(' Pivot Table for Data Exchange'!$H$241)*100</f>
        <v>0</v>
      </c>
      <c r="K202" s="89">
        <f>(' Pivot Table for Data Exchange'!$H$244)*100</f>
        <v>0</v>
      </c>
      <c r="L202" s="83">
        <f>SUM(M202:O202)</f>
        <v>0</v>
      </c>
      <c r="M202" s="89">
        <f>(' Pivot Table for Data Exchange'!$H$247)*100</f>
        <v>0</v>
      </c>
      <c r="N202" s="89">
        <f>(' Pivot Table for Data Exchange'!$H$250)*100</f>
        <v>0</v>
      </c>
      <c r="O202" s="91">
        <f>(' Pivot Table for Data Exchange'!$H$253)*100</f>
        <v>0</v>
      </c>
      <c r="P202" s="89">
        <f>(' Pivot Table for Data Exchange'!$H$256)*100</f>
        <v>0</v>
      </c>
      <c r="Q202" s="23">
        <f t="shared" si="24"/>
        <v>0</v>
      </c>
      <c r="R202" s="23">
        <f t="shared" si="25"/>
        <v>0</v>
      </c>
      <c r="S202" s="31"/>
      <c r="T202" s="40"/>
      <c r="U202" s="31"/>
      <c r="V202" s="31"/>
      <c r="W202" s="31"/>
      <c r="X202" s="31"/>
      <c r="Y202" s="31"/>
      <c r="Z202" s="31"/>
      <c r="AA202" s="31"/>
      <c r="AB202" s="31"/>
      <c r="AC202" s="31"/>
      <c r="AD202" s="31"/>
      <c r="AE202" s="31"/>
      <c r="AF202" s="31"/>
      <c r="AG202" s="31"/>
      <c r="AH202" s="31"/>
      <c r="AI202" s="31"/>
      <c r="AJ202" s="31"/>
      <c r="AK202" s="31"/>
      <c r="AL202" s="31"/>
      <c r="AM202" s="31"/>
      <c r="AN202" s="31"/>
      <c r="AO202" s="31"/>
    </row>
    <row r="203" spans="1:41" ht="15.75" customHeight="1">
      <c r="A203" s="24" t="s">
        <v>227</v>
      </c>
      <c r="B203" s="89">
        <f>(' Pivot Table for Data Exchange'!$H$259)*100</f>
        <v>100</v>
      </c>
      <c r="C203" s="89">
        <f>(' Pivot Table for Data Exchange'!$H$262)*100</f>
        <v>0</v>
      </c>
      <c r="D203" s="83">
        <f>SUM(E203:G203)</f>
        <v>0</v>
      </c>
      <c r="E203" s="89">
        <f>(' Pivot Table for Data Exchange'!$H$265)*100</f>
        <v>0</v>
      </c>
      <c r="F203" s="89">
        <f>(' Pivot Table for Data Exchange'!$H$268)*100</f>
        <v>0</v>
      </c>
      <c r="G203" s="91">
        <f>(' Pivot Table for Data Exchange'!$H$271)*100</f>
        <v>0</v>
      </c>
      <c r="H203" s="89">
        <f>(' Pivot Table for Data Exchange'!$H$274)*100</f>
        <v>0</v>
      </c>
      <c r="I203" s="24" t="s">
        <v>227</v>
      </c>
      <c r="J203" s="89">
        <f>(' Pivot Table for Data Exchange'!$H$277)*100</f>
        <v>100</v>
      </c>
      <c r="K203" s="89">
        <f>(' Pivot Table for Data Exchange'!$H$280)*100</f>
        <v>0</v>
      </c>
      <c r="L203" s="83">
        <f>SUM(M203:O203)</f>
        <v>0</v>
      </c>
      <c r="M203" s="89">
        <f>(' Pivot Table for Data Exchange'!$H$283)*100</f>
        <v>0</v>
      </c>
      <c r="N203" s="89">
        <f>(' Pivot Table for Data Exchange'!$H$286)*100</f>
        <v>0</v>
      </c>
      <c r="O203" s="91">
        <f>(' Pivot Table for Data Exchange'!$H$289)*100</f>
        <v>0</v>
      </c>
      <c r="P203" s="89">
        <f>(' Pivot Table for Data Exchange'!$H$292)*100</f>
        <v>0</v>
      </c>
      <c r="Q203" s="23">
        <f t="shared" ref="Q203:Q266" si="26">SUM(B203,C203,D203,H203)</f>
        <v>100</v>
      </c>
      <c r="R203" s="23">
        <f t="shared" ref="R203:R217" si="27">SUM(J203,K203,L203,P203)</f>
        <v>100</v>
      </c>
      <c r="S203" s="31"/>
      <c r="U203" s="31"/>
      <c r="V203" s="31"/>
      <c r="W203" s="31"/>
      <c r="X203" s="31"/>
      <c r="Y203" s="31"/>
      <c r="Z203" s="31"/>
      <c r="AA203" s="31"/>
      <c r="AB203" s="31"/>
      <c r="AC203" s="31"/>
      <c r="AD203" s="31"/>
      <c r="AE203" s="31"/>
      <c r="AF203" s="31"/>
      <c r="AG203" s="31"/>
      <c r="AH203" s="31"/>
      <c r="AI203" s="31"/>
      <c r="AJ203" s="31"/>
      <c r="AK203" s="31"/>
      <c r="AL203" s="31"/>
      <c r="AM203" s="31"/>
      <c r="AN203" s="31"/>
      <c r="AO203" s="31"/>
    </row>
    <row r="204" spans="1:41" ht="11.25" customHeight="1">
      <c r="A204" s="24"/>
      <c r="B204" s="89"/>
      <c r="C204" s="89"/>
      <c r="D204" s="83"/>
      <c r="E204" s="89"/>
      <c r="F204" s="89"/>
      <c r="G204" s="91"/>
      <c r="H204" s="89"/>
      <c r="I204" s="24"/>
      <c r="J204" s="89"/>
      <c r="K204" s="89"/>
      <c r="L204" s="83"/>
      <c r="M204" s="89"/>
      <c r="N204" s="89"/>
      <c r="O204" s="91"/>
      <c r="P204" s="89"/>
      <c r="Q204" s="23">
        <f t="shared" si="26"/>
        <v>0</v>
      </c>
      <c r="R204" s="23">
        <f t="shared" si="27"/>
        <v>0</v>
      </c>
      <c r="S204" s="31"/>
      <c r="U204" s="31"/>
      <c r="V204" s="31"/>
      <c r="W204" s="31"/>
      <c r="X204" s="31"/>
      <c r="Y204" s="31"/>
      <c r="Z204" s="31"/>
      <c r="AA204" s="31"/>
      <c r="AB204" s="31"/>
      <c r="AC204" s="31"/>
      <c r="AD204" s="31"/>
      <c r="AE204" s="31"/>
      <c r="AF204" s="31"/>
      <c r="AG204" s="31"/>
      <c r="AH204" s="31"/>
      <c r="AI204" s="31"/>
      <c r="AJ204" s="31"/>
      <c r="AK204" s="31"/>
      <c r="AL204" s="31"/>
      <c r="AM204" s="31"/>
      <c r="AN204" s="31"/>
      <c r="AO204" s="31"/>
    </row>
    <row r="205" spans="1:41" ht="15.75" customHeight="1">
      <c r="A205" s="24" t="s">
        <v>204</v>
      </c>
      <c r="B205" s="89">
        <f>(' Pivot Table for Data Exchange'!$H$295)*100</f>
        <v>0</v>
      </c>
      <c r="C205" s="89">
        <f>(' Pivot Table for Data Exchange'!$H$298)*100</f>
        <v>0</v>
      </c>
      <c r="D205" s="83">
        <f>SUM(E205:G205)</f>
        <v>0</v>
      </c>
      <c r="E205" s="89">
        <f>(' Pivot Table for Data Exchange'!$H$301)*100</f>
        <v>0</v>
      </c>
      <c r="F205" s="89">
        <f>(' Pivot Table for Data Exchange'!$H$304)*100</f>
        <v>0</v>
      </c>
      <c r="G205" s="91">
        <f>(' Pivot Table for Data Exchange'!$H$307)*100</f>
        <v>0</v>
      </c>
      <c r="H205" s="89">
        <f>(' Pivot Table for Data Exchange'!$H$310)*100</f>
        <v>0</v>
      </c>
      <c r="I205" s="24" t="s">
        <v>204</v>
      </c>
      <c r="J205" s="89">
        <f>(' Pivot Table for Data Exchange'!$H$313)*100</f>
        <v>0</v>
      </c>
      <c r="K205" s="89">
        <f>(' Pivot Table for Data Exchange'!$H$316)*100</f>
        <v>0</v>
      </c>
      <c r="L205" s="83">
        <f>SUM(M205:O205)</f>
        <v>0</v>
      </c>
      <c r="M205" s="89">
        <f>(' Pivot Table for Data Exchange'!$H$319)*100</f>
        <v>0</v>
      </c>
      <c r="N205" s="89">
        <f>(' Pivot Table for Data Exchange'!$H$322)*100</f>
        <v>0</v>
      </c>
      <c r="O205" s="91">
        <f>(' Pivot Table for Data Exchange'!$H$325)*100</f>
        <v>0</v>
      </c>
      <c r="P205" s="89">
        <f>(' Pivot Table for Data Exchange'!$H$328)*100</f>
        <v>0</v>
      </c>
      <c r="Q205" s="23">
        <f t="shared" si="26"/>
        <v>0</v>
      </c>
      <c r="R205" s="23">
        <f t="shared" si="27"/>
        <v>0</v>
      </c>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row>
    <row r="206" spans="1:41" ht="15.75" customHeight="1">
      <c r="A206" s="24" t="s">
        <v>212</v>
      </c>
      <c r="B206" s="89">
        <f>(' Pivot Table for Data Exchange'!$H$331)*100</f>
        <v>95.046172766303215</v>
      </c>
      <c r="C206" s="89">
        <f>(' Pivot Table for Data Exchange'!$H$334)*100</f>
        <v>3.1365637799079837</v>
      </c>
      <c r="D206" s="83">
        <f>SUM(E206:G206)</f>
        <v>1.8172634537888019</v>
      </c>
      <c r="E206" s="89">
        <f>(' Pivot Table for Data Exchange'!$H$337)*100</f>
        <v>1.7568710127263343</v>
      </c>
      <c r="F206" s="156">
        <f>(' Pivot Table for Data Exchange'!$H$340)*100</f>
        <v>6.0392441062467744E-2</v>
      </c>
      <c r="G206" s="91">
        <f>(' Pivot Table for Data Exchange'!$H$343)*100</f>
        <v>0</v>
      </c>
      <c r="H206" s="89">
        <f>(' Pivot Table for Data Exchange'!$H$346)*100</f>
        <v>0</v>
      </c>
      <c r="I206" s="24" t="s">
        <v>212</v>
      </c>
      <c r="J206" s="89">
        <f>(' Pivot Table for Data Exchange'!$H$349)*100</f>
        <v>80.017079419299748</v>
      </c>
      <c r="K206" s="89">
        <f>(' Pivot Table for Data Exchange'!$H$352)*100</f>
        <v>0</v>
      </c>
      <c r="L206" s="83">
        <f>SUM(M206:O206)</f>
        <v>19.982920580700256</v>
      </c>
      <c r="M206" s="89">
        <f>(' Pivot Table for Data Exchange'!$H$355)*100</f>
        <v>19.982920580700256</v>
      </c>
      <c r="N206" s="89">
        <f>(' Pivot Table for Data Exchange'!$H$358)*100</f>
        <v>0</v>
      </c>
      <c r="O206" s="91">
        <f>(' Pivot Table for Data Exchange'!$H$361)*100</f>
        <v>0</v>
      </c>
      <c r="P206" s="89">
        <f>(' Pivot Table for Data Exchange'!$H$364)*100</f>
        <v>0</v>
      </c>
      <c r="Q206" s="23">
        <f t="shared" si="26"/>
        <v>100</v>
      </c>
      <c r="R206" s="23">
        <f t="shared" si="27"/>
        <v>100</v>
      </c>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row>
    <row r="207" spans="1:41" ht="15.75" customHeight="1">
      <c r="A207" s="24" t="s">
        <v>205</v>
      </c>
      <c r="B207" s="89">
        <f>(' Pivot Table for Data Exchange'!$H$367)*100</f>
        <v>78.503093972284972</v>
      </c>
      <c r="C207" s="89">
        <f>(' Pivot Table for Data Exchange'!$H$370)*100</f>
        <v>1.6284417508598092</v>
      </c>
      <c r="D207" s="83">
        <f>SUM(E207:G207)</f>
        <v>19.86846427685521</v>
      </c>
      <c r="E207" s="89">
        <f>(' Pivot Table for Data Exchange'!$H$373)*100</f>
        <v>17.117074838597222</v>
      </c>
      <c r="F207" s="89">
        <f>(' Pivot Table for Data Exchange'!$H$376)*100</f>
        <v>2.7507190217281998</v>
      </c>
      <c r="G207" s="582">
        <f>(' Pivot Table for Data Exchange'!$H$379)*100</f>
        <v>6.704165297899585E-4</v>
      </c>
      <c r="H207" s="89">
        <f>(' Pivot Table for Data Exchange'!$H$382)*100</f>
        <v>0</v>
      </c>
      <c r="I207" s="24" t="s">
        <v>205</v>
      </c>
      <c r="J207" s="89">
        <f>(' Pivot Table for Data Exchange'!$H$385)*100</f>
        <v>0</v>
      </c>
      <c r="K207" s="89">
        <f>(' Pivot Table for Data Exchange'!$H$388)*100</f>
        <v>0</v>
      </c>
      <c r="L207" s="83">
        <f>SUM(M207:O207)</f>
        <v>0</v>
      </c>
      <c r="M207" s="89">
        <f>(' Pivot Table for Data Exchange'!$H$391)*100</f>
        <v>0</v>
      </c>
      <c r="N207" s="89">
        <f>(' Pivot Table for Data Exchange'!$H$394)*100</f>
        <v>0</v>
      </c>
      <c r="O207" s="91">
        <f>(' Pivot Table for Data Exchange'!$H$397)*100</f>
        <v>0</v>
      </c>
      <c r="P207" s="89">
        <f>(' Pivot Table for Data Exchange'!$H$400)*100</f>
        <v>0</v>
      </c>
      <c r="Q207" s="23">
        <f t="shared" si="26"/>
        <v>99.999999999999986</v>
      </c>
      <c r="R207" s="23">
        <f t="shared" si="27"/>
        <v>0</v>
      </c>
      <c r="S207" s="31"/>
      <c r="T207" s="40"/>
      <c r="U207" s="31"/>
      <c r="V207" s="31"/>
      <c r="W207" s="31"/>
      <c r="X207" s="31"/>
      <c r="Y207" s="31"/>
      <c r="Z207" s="31"/>
      <c r="AA207" s="31"/>
      <c r="AB207" s="31"/>
      <c r="AC207" s="31"/>
      <c r="AD207" s="31"/>
      <c r="AE207" s="31"/>
      <c r="AF207" s="31"/>
      <c r="AG207" s="31"/>
      <c r="AH207" s="31"/>
      <c r="AI207" s="31"/>
      <c r="AJ207" s="31"/>
      <c r="AK207" s="31"/>
      <c r="AL207" s="31"/>
      <c r="AM207" s="31"/>
      <c r="AN207" s="31"/>
      <c r="AO207" s="31"/>
    </row>
    <row r="208" spans="1:41" ht="15.75" customHeight="1">
      <c r="A208" s="24" t="s">
        <v>228</v>
      </c>
      <c r="B208" s="89">
        <f>(' Pivot Table for Data Exchange'!$H$403)*100</f>
        <v>88.387628111273798</v>
      </c>
      <c r="C208" s="89">
        <f>(' Pivot Table for Data Exchange'!$H$406)*100</f>
        <v>11.316343338213763</v>
      </c>
      <c r="D208" s="83">
        <f>SUM(E208:G208)</f>
        <v>0.29602855051244509</v>
      </c>
      <c r="E208" s="89">
        <f>(' Pivot Table for Data Exchange'!$H$409)*100</f>
        <v>0.29602855051244509</v>
      </c>
      <c r="F208" s="89">
        <f>(' Pivot Table for Data Exchange'!$H$412)*100</f>
        <v>0</v>
      </c>
      <c r="G208" s="91">
        <f>(' Pivot Table for Data Exchange'!$H$415)*100</f>
        <v>0</v>
      </c>
      <c r="H208" s="89">
        <f>(' Pivot Table for Data Exchange'!$H$418)*100</f>
        <v>0</v>
      </c>
      <c r="I208" s="24" t="s">
        <v>228</v>
      </c>
      <c r="J208" s="89">
        <f>(' Pivot Table for Data Exchange'!$H$421)*100</f>
        <v>45.956160241874528</v>
      </c>
      <c r="K208" s="89">
        <f>(' Pivot Table for Data Exchange'!$H$424)*100</f>
        <v>45.993953136810276</v>
      </c>
      <c r="L208" s="83">
        <f>SUM(M208:O208)</f>
        <v>8.0498866213151921</v>
      </c>
      <c r="M208" s="89">
        <f>(' Pivot Table for Data Exchange'!$H$427)*100</f>
        <v>8.0498866213151921</v>
      </c>
      <c r="N208" s="89">
        <f>(' Pivot Table for Data Exchange'!$H$430)*100</f>
        <v>0</v>
      </c>
      <c r="O208" s="91">
        <f>(' Pivot Table for Data Exchange'!$H$433)*100</f>
        <v>0</v>
      </c>
      <c r="P208" s="89">
        <f>(' Pivot Table for Data Exchange'!$H$436)*100</f>
        <v>0</v>
      </c>
      <c r="Q208" s="23">
        <f t="shared" si="26"/>
        <v>100.00000000000001</v>
      </c>
      <c r="R208" s="23">
        <f t="shared" si="27"/>
        <v>100</v>
      </c>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row>
    <row r="209" spans="1:41" ht="11.25" customHeight="1">
      <c r="A209" s="24"/>
      <c r="B209" s="89"/>
      <c r="C209" s="89"/>
      <c r="D209" s="83"/>
      <c r="E209" s="89"/>
      <c r="F209" s="89"/>
      <c r="G209" s="91"/>
      <c r="H209" s="89"/>
      <c r="I209" s="24"/>
      <c r="J209" s="89"/>
      <c r="K209" s="89"/>
      <c r="L209" s="83"/>
      <c r="M209" s="89"/>
      <c r="N209" s="89"/>
      <c r="O209" s="91"/>
      <c r="P209" s="89"/>
      <c r="Q209" s="23">
        <f t="shared" si="26"/>
        <v>0</v>
      </c>
      <c r="R209" s="23">
        <f t="shared" si="27"/>
        <v>0</v>
      </c>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row>
    <row r="210" spans="1:41" ht="15.75" customHeight="1">
      <c r="A210" s="24" t="s">
        <v>229</v>
      </c>
      <c r="B210" s="89">
        <f>(' Pivot Table for Data Exchange'!$H$439)*100</f>
        <v>0</v>
      </c>
      <c r="C210" s="89">
        <f>(' Pivot Table for Data Exchange'!$H$442)*100</f>
        <v>0</v>
      </c>
      <c r="D210" s="83">
        <f>SUM(E210:G210)</f>
        <v>0</v>
      </c>
      <c r="E210" s="89">
        <f>(' Pivot Table for Data Exchange'!$H$445)*100</f>
        <v>0</v>
      </c>
      <c r="F210" s="89">
        <f>(' Pivot Table for Data Exchange'!$H$448)*100</f>
        <v>0</v>
      </c>
      <c r="G210" s="91">
        <f>(' Pivot Table for Data Exchange'!$H$451)*100</f>
        <v>0</v>
      </c>
      <c r="H210" s="89">
        <f>(' Pivot Table for Data Exchange'!$H$454)*100</f>
        <v>0</v>
      </c>
      <c r="I210" s="24" t="s">
        <v>229</v>
      </c>
      <c r="J210" s="89">
        <f>(' Pivot Table for Data Exchange'!$H$457)*100</f>
        <v>0</v>
      </c>
      <c r="K210" s="89">
        <f>(' Pivot Table for Data Exchange'!$H$460)*100</f>
        <v>0</v>
      </c>
      <c r="L210" s="83">
        <f>SUM(M210:O210)</f>
        <v>0</v>
      </c>
      <c r="M210" s="89">
        <f>(' Pivot Table for Data Exchange'!$H$463)*100</f>
        <v>0</v>
      </c>
      <c r="N210" s="89">
        <f>(' Pivot Table for Data Exchange'!$H$466)*100</f>
        <v>0</v>
      </c>
      <c r="O210" s="91">
        <f>(' Pivot Table for Data Exchange'!$H$469)*100</f>
        <v>0</v>
      </c>
      <c r="P210" s="89">
        <f>(' Pivot Table for Data Exchange'!$H$472)*100</f>
        <v>0</v>
      </c>
      <c r="Q210" s="23">
        <f t="shared" si="26"/>
        <v>0</v>
      </c>
      <c r="R210" s="23">
        <f t="shared" si="27"/>
        <v>0</v>
      </c>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row>
    <row r="211" spans="1:41" ht="15.75" customHeight="1">
      <c r="A211" s="24" t="s">
        <v>213</v>
      </c>
      <c r="B211" s="89">
        <f>(' Pivot Table for Data Exchange'!$H$475)*100</f>
        <v>100</v>
      </c>
      <c r="C211" s="89">
        <f>(' Pivot Table for Data Exchange'!$H$478)*100</f>
        <v>0</v>
      </c>
      <c r="D211" s="83">
        <f>SUM(E211:G211)</f>
        <v>0</v>
      </c>
      <c r="E211" s="89">
        <f>(' Pivot Table for Data Exchange'!$H$481)*100</f>
        <v>0</v>
      </c>
      <c r="F211" s="89">
        <f>(' Pivot Table for Data Exchange'!$H$484)*100</f>
        <v>0</v>
      </c>
      <c r="G211" s="91">
        <f>(' Pivot Table for Data Exchange'!$H$487)*100</f>
        <v>0</v>
      </c>
      <c r="H211" s="89">
        <f>(' Pivot Table for Data Exchange'!$H$490)*100</f>
        <v>0</v>
      </c>
      <c r="I211" s="24" t="s">
        <v>213</v>
      </c>
      <c r="J211" s="89">
        <f>(' Pivot Table for Data Exchange'!$H$493)*100</f>
        <v>100</v>
      </c>
      <c r="K211" s="89">
        <f>(' Pivot Table for Data Exchange'!$H$496)*100</f>
        <v>0</v>
      </c>
      <c r="L211" s="83">
        <f>SUM(M211:O211)</f>
        <v>0</v>
      </c>
      <c r="M211" s="89">
        <f>(' Pivot Table for Data Exchange'!$H$499)*100</f>
        <v>0</v>
      </c>
      <c r="N211" s="89">
        <f>(' Pivot Table for Data Exchange'!$H$502)*100</f>
        <v>0</v>
      </c>
      <c r="O211" s="91">
        <f>(' Pivot Table for Data Exchange'!$H$505)*100</f>
        <v>0</v>
      </c>
      <c r="P211" s="89">
        <f>(' Pivot Table for Data Exchange'!$H$508)*100</f>
        <v>0</v>
      </c>
      <c r="Q211" s="23">
        <f t="shared" si="26"/>
        <v>100</v>
      </c>
      <c r="R211" s="23">
        <f t="shared" si="27"/>
        <v>100</v>
      </c>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row>
    <row r="212" spans="1:41" ht="15.75" customHeight="1">
      <c r="A212" s="24" t="s">
        <v>230</v>
      </c>
      <c r="B212" s="89">
        <f>(' Pivot Table for Data Exchange'!$H$511)*100</f>
        <v>0</v>
      </c>
      <c r="C212" s="89">
        <f>(' Pivot Table for Data Exchange'!$H$514)*100</f>
        <v>0</v>
      </c>
      <c r="D212" s="83">
        <f>SUM(E212:G212)</f>
        <v>0</v>
      </c>
      <c r="E212" s="89">
        <f>(' Pivot Table for Data Exchange'!$H$517)*100</f>
        <v>0</v>
      </c>
      <c r="F212" s="89">
        <f>(' Pivot Table for Data Exchange'!$H$520)*100</f>
        <v>0</v>
      </c>
      <c r="G212" s="91">
        <f>(' Pivot Table for Data Exchange'!$H$523)*100</f>
        <v>0</v>
      </c>
      <c r="H212" s="89">
        <f>(' Pivot Table for Data Exchange'!$H$526)*100</f>
        <v>0</v>
      </c>
      <c r="I212" s="24" t="s">
        <v>230</v>
      </c>
      <c r="J212" s="89">
        <f>(' Pivot Table for Data Exchange'!$H$529)*100</f>
        <v>0</v>
      </c>
      <c r="K212" s="89">
        <f>(' Pivot Table for Data Exchange'!$H$532)*100</f>
        <v>0</v>
      </c>
      <c r="L212" s="83">
        <f>SUM(M212:O212)</f>
        <v>0</v>
      </c>
      <c r="M212" s="89">
        <f>(' Pivot Table for Data Exchange'!$H$535)*100</f>
        <v>0</v>
      </c>
      <c r="N212" s="89">
        <f>(' Pivot Table for Data Exchange'!$H$538)*100</f>
        <v>0</v>
      </c>
      <c r="O212" s="91">
        <f>(' Pivot Table for Data Exchange'!$H$541)*100</f>
        <v>0</v>
      </c>
      <c r="P212" s="89">
        <f>(' Pivot Table for Data Exchange'!$H$544)*100</f>
        <v>0</v>
      </c>
      <c r="Q212" s="23">
        <f t="shared" si="26"/>
        <v>0</v>
      </c>
      <c r="R212" s="23">
        <f t="shared" si="27"/>
        <v>0</v>
      </c>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row>
    <row r="213" spans="1:41" ht="15.75" customHeight="1">
      <c r="A213" s="18" t="s">
        <v>206</v>
      </c>
      <c r="B213" s="92">
        <f>(' Pivot Table for Data Exchange'!$H$547)*100</f>
        <v>87.282096594750641</v>
      </c>
      <c r="C213" s="92">
        <f>(' Pivot Table for Data Exchange'!$H$550)*100</f>
        <v>6.4840684126365193</v>
      </c>
      <c r="D213" s="84">
        <f>SUM(E213:G213)</f>
        <v>6.233834992612838</v>
      </c>
      <c r="E213" s="92">
        <f>(' Pivot Table for Data Exchange'!$H$553)*100</f>
        <v>5.7793366936277231</v>
      </c>
      <c r="F213" s="92">
        <f>(' Pivot Table for Data Exchange'!$H$556)*100</f>
        <v>0.41425346731583068</v>
      </c>
      <c r="G213" s="583">
        <f>(' Pivot Table for Data Exchange'!$H$559)*100</f>
        <v>4.0244831669284067E-2</v>
      </c>
      <c r="H213" s="92">
        <f>(' Pivot Table for Data Exchange'!$H$562)*100</f>
        <v>0</v>
      </c>
      <c r="I213" s="18" t="s">
        <v>206</v>
      </c>
      <c r="J213" s="92">
        <f>(' Pivot Table for Data Exchange'!$H$565)*100</f>
        <v>47.229866079618418</v>
      </c>
      <c r="K213" s="92">
        <f>(' Pivot Table for Data Exchange'!$H$568)*100</f>
        <v>0.38525041276829941</v>
      </c>
      <c r="L213" s="84">
        <f>SUM(M213:O213)</f>
        <v>52.384883507613281</v>
      </c>
      <c r="M213" s="92">
        <f>(' Pivot Table for Data Exchange'!$H$571)*100</f>
        <v>52.384883507613281</v>
      </c>
      <c r="N213" s="92">
        <f>(' Pivot Table for Data Exchange'!$H$574)*100</f>
        <v>0</v>
      </c>
      <c r="O213" s="93">
        <f>(' Pivot Table for Data Exchange'!$H$577)*100</f>
        <v>0</v>
      </c>
      <c r="P213" s="92">
        <f>(' Pivot Table for Data Exchange'!$H$580)*100</f>
        <v>0</v>
      </c>
      <c r="Q213" s="23">
        <f t="shared" si="26"/>
        <v>100</v>
      </c>
      <c r="R213" s="23">
        <f t="shared" si="27"/>
        <v>100</v>
      </c>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row>
    <row r="214" spans="1:41" s="45" customFormat="1" ht="18" customHeight="1">
      <c r="A214" s="85" t="s">
        <v>35</v>
      </c>
      <c r="B214" s="49"/>
      <c r="C214" s="49"/>
      <c r="D214" s="50"/>
      <c r="E214" s="49"/>
      <c r="F214" s="50"/>
      <c r="G214" s="50"/>
      <c r="H214" s="49"/>
      <c r="I214" s="85" t="s">
        <v>35</v>
      </c>
      <c r="J214" s="49"/>
      <c r="K214" s="49"/>
      <c r="L214" s="50"/>
      <c r="M214" s="49"/>
      <c r="N214" s="50"/>
      <c r="O214" s="50"/>
      <c r="P214" s="49"/>
      <c r="Q214" s="23">
        <f t="shared" si="26"/>
        <v>0</v>
      </c>
      <c r="R214" s="23">
        <f t="shared" si="27"/>
        <v>0</v>
      </c>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row>
    <row r="215" spans="1:41" s="45" customFormat="1" ht="26.25" customHeight="1">
      <c r="A215" s="601" t="s">
        <v>897</v>
      </c>
      <c r="B215" s="602"/>
      <c r="C215" s="602"/>
      <c r="D215" s="602"/>
      <c r="E215" s="602"/>
      <c r="F215" s="602"/>
      <c r="G215" s="602"/>
      <c r="H215" s="602"/>
      <c r="I215" s="601" t="s">
        <v>897</v>
      </c>
      <c r="J215" s="602"/>
      <c r="K215" s="602"/>
      <c r="L215" s="602"/>
      <c r="M215" s="602"/>
      <c r="N215" s="602"/>
      <c r="O215" s="602"/>
      <c r="P215" s="602"/>
      <c r="Q215" s="23">
        <f t="shared" si="26"/>
        <v>0</v>
      </c>
      <c r="R215" s="23">
        <f t="shared" si="27"/>
        <v>0</v>
      </c>
    </row>
    <row r="216" spans="1:41" s="45" customFormat="1" ht="10.5" customHeight="1">
      <c r="A216" s="103"/>
      <c r="B216" s="102"/>
      <c r="C216" s="102"/>
      <c r="D216" s="102"/>
      <c r="E216" s="102"/>
      <c r="F216" s="102"/>
      <c r="G216" s="152"/>
      <c r="H216" s="152"/>
      <c r="I216" s="103"/>
      <c r="J216" s="102"/>
      <c r="K216" s="102"/>
      <c r="L216" s="102"/>
      <c r="M216" s="102"/>
      <c r="N216" s="102"/>
      <c r="O216" s="102"/>
      <c r="P216" s="152"/>
      <c r="Q216" s="23"/>
      <c r="R216" s="23"/>
    </row>
    <row r="217" spans="1:41" s="45" customFormat="1">
      <c r="H217" s="572" t="s">
        <v>889</v>
      </c>
      <c r="P217" s="572" t="s">
        <v>889</v>
      </c>
      <c r="Q217" s="23">
        <f t="shared" si="26"/>
        <v>0</v>
      </c>
      <c r="R217" s="23">
        <f t="shared" si="27"/>
        <v>0</v>
      </c>
    </row>
    <row r="218" spans="1:41" ht="18">
      <c r="A218" s="15" t="s">
        <v>6</v>
      </c>
      <c r="B218" s="16"/>
      <c r="C218" s="16"/>
      <c r="D218" s="16"/>
      <c r="E218" s="16"/>
      <c r="F218" s="16"/>
      <c r="G218" s="16"/>
      <c r="H218" s="30"/>
      <c r="I218" s="24"/>
      <c r="J218" s="24"/>
      <c r="K218" s="24"/>
      <c r="L218" s="24"/>
      <c r="M218" s="24"/>
      <c r="N218" s="24"/>
      <c r="O218" s="24"/>
      <c r="P218" s="24"/>
      <c r="Q218" s="23">
        <f t="shared" si="26"/>
        <v>0</v>
      </c>
    </row>
    <row r="219" spans="1:41">
      <c r="A219" s="58"/>
      <c r="B219" s="17"/>
      <c r="C219" s="17"/>
      <c r="D219" s="17"/>
      <c r="E219" s="17"/>
      <c r="F219" s="17"/>
      <c r="G219" s="17"/>
      <c r="H219" s="27"/>
      <c r="I219" s="24"/>
      <c r="J219" s="24"/>
      <c r="K219" s="24"/>
      <c r="L219" s="24"/>
      <c r="M219" s="24"/>
      <c r="N219" s="24"/>
      <c r="O219" s="24"/>
      <c r="P219" s="24"/>
      <c r="Q219" s="23">
        <f t="shared" si="26"/>
        <v>0</v>
      </c>
    </row>
    <row r="220" spans="1:41" ht="15.75">
      <c r="A220" s="26" t="s">
        <v>23</v>
      </c>
      <c r="B220" s="17"/>
      <c r="C220" s="17"/>
      <c r="D220" s="17"/>
      <c r="E220" s="17"/>
      <c r="F220" s="17"/>
      <c r="G220" s="17"/>
      <c r="H220" s="27"/>
      <c r="I220" s="29"/>
      <c r="J220" s="24"/>
      <c r="K220" s="24"/>
      <c r="L220" s="27"/>
      <c r="M220" s="24"/>
      <c r="N220" s="24"/>
      <c r="O220" s="24"/>
      <c r="P220" s="24"/>
      <c r="Q220" s="23">
        <f t="shared" si="26"/>
        <v>0</v>
      </c>
    </row>
    <row r="221" spans="1:41" ht="15.75">
      <c r="A221" s="26" t="s">
        <v>759</v>
      </c>
      <c r="B221" s="17"/>
      <c r="C221" s="17"/>
      <c r="D221" s="17"/>
      <c r="E221" s="17"/>
      <c r="F221" s="17"/>
      <c r="G221" s="17"/>
      <c r="H221" s="27"/>
      <c r="I221" s="29"/>
      <c r="J221" s="24"/>
      <c r="K221" s="24"/>
      <c r="L221" s="24"/>
      <c r="M221" s="24"/>
      <c r="N221" s="24"/>
      <c r="O221" s="24"/>
      <c r="P221" s="24"/>
      <c r="Q221" s="23">
        <f t="shared" si="26"/>
        <v>0</v>
      </c>
    </row>
    <row r="222" spans="1:41">
      <c r="A222" s="18"/>
      <c r="B222" s="19"/>
      <c r="C222" s="19"/>
      <c r="D222" s="19"/>
      <c r="E222" s="19"/>
      <c r="F222" s="19"/>
      <c r="G222" s="19"/>
      <c r="H222" s="19"/>
      <c r="I222" s="29"/>
      <c r="J222" s="24"/>
      <c r="K222" s="24"/>
      <c r="L222" s="24"/>
      <c r="M222" s="24"/>
      <c r="N222" s="24"/>
      <c r="O222" s="24"/>
      <c r="P222" s="24"/>
      <c r="Q222" s="23">
        <f t="shared" si="26"/>
        <v>0</v>
      </c>
    </row>
    <row r="223" spans="1:41">
      <c r="A223" s="63"/>
      <c r="B223" s="64" t="s">
        <v>215</v>
      </c>
      <c r="C223" s="64"/>
      <c r="D223" s="64"/>
      <c r="E223" s="64"/>
      <c r="F223" s="64"/>
      <c r="G223" s="64"/>
      <c r="H223" s="65"/>
      <c r="I223" s="29"/>
      <c r="J223" s="24"/>
      <c r="K223" s="24"/>
      <c r="L223" s="24"/>
      <c r="M223" s="24"/>
      <c r="N223" s="24"/>
      <c r="O223" s="24"/>
      <c r="P223" s="24"/>
      <c r="Q223" s="23">
        <f t="shared" si="26"/>
        <v>0</v>
      </c>
    </row>
    <row r="224" spans="1:41">
      <c r="A224" s="63"/>
      <c r="B224" s="64" t="s">
        <v>209</v>
      </c>
      <c r="C224" s="64"/>
      <c r="D224" s="597" t="s">
        <v>30</v>
      </c>
      <c r="E224" s="598"/>
      <c r="F224" s="598"/>
      <c r="G224" s="598"/>
      <c r="H224" s="68" t="s">
        <v>196</v>
      </c>
      <c r="I224" s="29"/>
      <c r="J224" s="24"/>
      <c r="K224" s="24"/>
      <c r="L224" s="24"/>
      <c r="M224" s="24"/>
      <c r="N224" s="24"/>
      <c r="O224" s="24"/>
      <c r="P224" s="24"/>
      <c r="Q224" s="23">
        <f t="shared" si="26"/>
        <v>0</v>
      </c>
    </row>
    <row r="225" spans="1:41" ht="36">
      <c r="A225" s="63"/>
      <c r="B225" s="69" t="s">
        <v>22</v>
      </c>
      <c r="C225" s="70" t="s">
        <v>21</v>
      </c>
      <c r="D225" s="71" t="s">
        <v>28</v>
      </c>
      <c r="E225" s="72" t="s">
        <v>195</v>
      </c>
      <c r="F225" s="69" t="s">
        <v>210</v>
      </c>
      <c r="G225" s="73" t="s">
        <v>32</v>
      </c>
      <c r="H225" s="74" t="s">
        <v>31</v>
      </c>
      <c r="I225" s="578" t="s">
        <v>890</v>
      </c>
      <c r="J225" s="67"/>
      <c r="K225" s="67"/>
      <c r="L225" s="67"/>
      <c r="M225" s="67"/>
      <c r="N225" s="67"/>
      <c r="O225" s="67"/>
      <c r="P225" s="24"/>
      <c r="Q225" s="23">
        <f t="shared" si="26"/>
        <v>0</v>
      </c>
    </row>
    <row r="226" spans="1:41" ht="15.75" customHeight="1">
      <c r="A226" s="25" t="s">
        <v>220</v>
      </c>
      <c r="B226" s="89">
        <f>(' Pivot Table for Data Exchange'!$O$7)*100</f>
        <v>84.878646082945878</v>
      </c>
      <c r="C226" s="89">
        <f>(' Pivot Table for Data Exchange'!$O$10)*100</f>
        <v>2.1605885541306717</v>
      </c>
      <c r="D226" s="83">
        <f>SUM(E226:G226)</f>
        <v>12.75236077504379</v>
      </c>
      <c r="E226" s="89">
        <f>(' Pivot Table for Data Exchange'!$O$13)*100</f>
        <v>12.318264337655858</v>
      </c>
      <c r="F226" s="89">
        <f>(' Pivot Table for Data Exchange'!$O$16)*100</f>
        <v>0.43122409237887083</v>
      </c>
      <c r="G226" s="585">
        <f>(' Pivot Table for Data Exchange'!$O$19)*100</f>
        <v>2.8723450090611846E-3</v>
      </c>
      <c r="H226" s="156">
        <f>(' Pivot Table for Data Exchange'!$O$22)*100</f>
        <v>0.20840458787966148</v>
      </c>
      <c r="I226" s="169">
        <v>7</v>
      </c>
      <c r="J226" s="128">
        <f t="shared" ref="J226:O226" si="28">I226+3</f>
        <v>10</v>
      </c>
      <c r="K226" s="128">
        <f t="shared" si="28"/>
        <v>13</v>
      </c>
      <c r="L226" s="128">
        <f t="shared" si="28"/>
        <v>16</v>
      </c>
      <c r="M226" s="128">
        <f t="shared" si="28"/>
        <v>19</v>
      </c>
      <c r="N226" s="128">
        <f t="shared" si="28"/>
        <v>22</v>
      </c>
      <c r="O226" s="128">
        <f t="shared" si="28"/>
        <v>25</v>
      </c>
      <c r="P226" s="82"/>
      <c r="Q226" s="23">
        <f t="shared" si="26"/>
        <v>99.999999999999986</v>
      </c>
      <c r="R226" s="23"/>
      <c r="Z226" s="31"/>
      <c r="AA226" s="31"/>
      <c r="AB226" s="31"/>
      <c r="AC226" s="31"/>
      <c r="AD226" s="31"/>
      <c r="AE226" s="31"/>
      <c r="AF226" s="31"/>
      <c r="AG226" s="31"/>
      <c r="AH226" s="31"/>
      <c r="AI226" s="31"/>
      <c r="AJ226" s="31"/>
      <c r="AK226" s="31"/>
      <c r="AL226" s="31"/>
      <c r="AM226" s="31"/>
      <c r="AN226" s="31"/>
      <c r="AO226" s="31"/>
    </row>
    <row r="227" spans="1:41" ht="15.75" customHeight="1">
      <c r="A227" s="24" t="s">
        <v>221</v>
      </c>
      <c r="B227" s="89">
        <f>(' Pivot Table for Data Exchange'!$O$43)*100</f>
        <v>68.246406369644035</v>
      </c>
      <c r="C227" s="89">
        <f>(' Pivot Table for Data Exchange'!$O$46)*100</f>
        <v>14.099532945996653</v>
      </c>
      <c r="D227" s="83">
        <f>SUM(E227:G227)</f>
        <v>17.654060684359315</v>
      </c>
      <c r="E227" s="89">
        <f>(' Pivot Table for Data Exchange'!$O$49)*100</f>
        <v>13.624767289526304</v>
      </c>
      <c r="F227" s="89">
        <f>(' Pivot Table for Data Exchange'!$O$52)*100</f>
        <v>1.0986837568996615</v>
      </c>
      <c r="G227" s="91">
        <f>(' Pivot Table for Data Exchange'!$O$55)*100</f>
        <v>2.9306096379333497</v>
      </c>
      <c r="H227" s="89">
        <f>(' Pivot Table for Data Exchange'!$O$58)*100</f>
        <v>0</v>
      </c>
      <c r="I227" s="128">
        <f>I226+36</f>
        <v>43</v>
      </c>
      <c r="J227" s="128">
        <f t="shared" ref="J227:O227" si="29">I227+3</f>
        <v>46</v>
      </c>
      <c r="K227" s="128">
        <f t="shared" si="29"/>
        <v>49</v>
      </c>
      <c r="L227" s="128">
        <f t="shared" si="29"/>
        <v>52</v>
      </c>
      <c r="M227" s="128">
        <f t="shared" si="29"/>
        <v>55</v>
      </c>
      <c r="N227" s="128">
        <f t="shared" si="29"/>
        <v>58</v>
      </c>
      <c r="O227" s="128">
        <f t="shared" si="29"/>
        <v>61</v>
      </c>
      <c r="P227" s="82"/>
      <c r="Q227" s="23">
        <f t="shared" si="26"/>
        <v>100</v>
      </c>
      <c r="R227" s="23"/>
      <c r="Z227" s="31"/>
      <c r="AA227" s="31"/>
      <c r="AB227" s="31"/>
      <c r="AC227" s="31"/>
      <c r="AD227" s="31"/>
      <c r="AE227" s="31"/>
      <c r="AF227" s="31"/>
      <c r="AG227" s="31"/>
      <c r="AH227" s="31"/>
      <c r="AI227" s="31"/>
      <c r="AJ227" s="31"/>
      <c r="AK227" s="31"/>
      <c r="AL227" s="31"/>
      <c r="AM227" s="31"/>
      <c r="AN227" s="31"/>
      <c r="AO227" s="31"/>
    </row>
    <row r="228" spans="1:41" ht="15.75" customHeight="1">
      <c r="A228" s="24" t="s">
        <v>222</v>
      </c>
      <c r="B228" s="89">
        <f>(' Pivot Table for Data Exchange'!$O$79)*100</f>
        <v>87.57661341897213</v>
      </c>
      <c r="C228" s="89">
        <f>(' Pivot Table for Data Exchange'!$O$82)*100</f>
        <v>0</v>
      </c>
      <c r="D228" s="83">
        <f>SUM(E228:G228)</f>
        <v>12.423386581027874</v>
      </c>
      <c r="E228" s="89">
        <f>(' Pivot Table for Data Exchange'!$O$85)*100</f>
        <v>6.1346045485814633</v>
      </c>
      <c r="F228" s="89">
        <f>(' Pivot Table for Data Exchange'!$O$88)*100</f>
        <v>0.2440567345485469</v>
      </c>
      <c r="G228" s="91">
        <f>(' Pivot Table for Data Exchange'!$O$91)*100</f>
        <v>6.0447252978978625</v>
      </c>
      <c r="H228" s="89">
        <f>(' Pivot Table for Data Exchange'!$O$94)*100</f>
        <v>0</v>
      </c>
      <c r="I228" s="128">
        <f>I227+36</f>
        <v>79</v>
      </c>
      <c r="J228" s="128">
        <f t="shared" ref="J228:O228" si="30">I228+3</f>
        <v>82</v>
      </c>
      <c r="K228" s="128">
        <f t="shared" si="30"/>
        <v>85</v>
      </c>
      <c r="L228" s="128">
        <f t="shared" si="30"/>
        <v>88</v>
      </c>
      <c r="M228" s="128">
        <f t="shared" si="30"/>
        <v>91</v>
      </c>
      <c r="N228" s="128">
        <f t="shared" si="30"/>
        <v>94</v>
      </c>
      <c r="O228" s="128">
        <f t="shared" si="30"/>
        <v>97</v>
      </c>
      <c r="P228" s="82"/>
      <c r="Q228" s="23">
        <f t="shared" si="26"/>
        <v>100</v>
      </c>
      <c r="R228" s="23"/>
      <c r="Z228" s="31"/>
      <c r="AA228" s="31"/>
      <c r="AB228" s="31"/>
      <c r="AC228" s="31"/>
      <c r="AD228" s="31"/>
      <c r="AE228" s="31"/>
      <c r="AF228" s="31"/>
      <c r="AG228" s="31"/>
      <c r="AH228" s="31"/>
      <c r="AI228" s="31"/>
      <c r="AJ228" s="31"/>
      <c r="AK228" s="31"/>
      <c r="AL228" s="31"/>
      <c r="AM228" s="31"/>
      <c r="AN228" s="31"/>
      <c r="AO228" s="31"/>
    </row>
    <row r="229" spans="1:41" ht="15.75" customHeight="1">
      <c r="A229" s="586" t="s">
        <v>111</v>
      </c>
      <c r="B229" s="89">
        <f>(' Pivot Table for Data Exchange'!$O$115)*100</f>
        <v>81.141544586311269</v>
      </c>
      <c r="C229" s="89">
        <f>(' Pivot Table for Data Exchange'!$O$118)*100</f>
        <v>2.7594808527650465</v>
      </c>
      <c r="D229" s="83">
        <f>SUM(E229:G229)</f>
        <v>15.813534550964931</v>
      </c>
      <c r="E229" s="89">
        <f>(' Pivot Table for Data Exchange'!$O$121)*100</f>
        <v>11.821336362450282</v>
      </c>
      <c r="F229" s="89">
        <f>(' Pivot Table for Data Exchange'!$O$124)*100</f>
        <v>0.30759581397742763</v>
      </c>
      <c r="G229" s="91">
        <f>(' Pivot Table for Data Exchange'!$O$127)*100</f>
        <v>3.6846023745372234</v>
      </c>
      <c r="H229" s="89">
        <f>(' Pivot Table for Data Exchange'!$O$130)*100</f>
        <v>0.28544000995874064</v>
      </c>
      <c r="I229" s="128">
        <f>I228+36</f>
        <v>115</v>
      </c>
      <c r="J229" s="128">
        <f t="shared" ref="J229:O229" si="31">I229+3</f>
        <v>118</v>
      </c>
      <c r="K229" s="128">
        <f t="shared" si="31"/>
        <v>121</v>
      </c>
      <c r="L229" s="128">
        <f t="shared" si="31"/>
        <v>124</v>
      </c>
      <c r="M229" s="128">
        <f t="shared" si="31"/>
        <v>127</v>
      </c>
      <c r="N229" s="128">
        <f t="shared" si="31"/>
        <v>130</v>
      </c>
      <c r="O229" s="128">
        <f t="shared" si="31"/>
        <v>133</v>
      </c>
      <c r="P229" s="82"/>
      <c r="Q229" s="23">
        <f t="shared" si="26"/>
        <v>99.999999999999986</v>
      </c>
      <c r="R229" s="23"/>
      <c r="Z229" s="31"/>
      <c r="AA229" s="31"/>
      <c r="AB229" s="31"/>
      <c r="AC229" s="31"/>
      <c r="AD229" s="31"/>
      <c r="AE229" s="31"/>
      <c r="AF229" s="31"/>
      <c r="AG229" s="31"/>
      <c r="AH229" s="31"/>
      <c r="AI229" s="31"/>
      <c r="AJ229" s="31"/>
      <c r="AK229" s="31"/>
      <c r="AL229" s="31"/>
      <c r="AM229" s="31"/>
      <c r="AN229" s="31"/>
      <c r="AO229" s="31"/>
    </row>
    <row r="230" spans="1:41" ht="15.75" customHeight="1">
      <c r="A230" s="24"/>
      <c r="B230" s="89"/>
      <c r="C230" s="89"/>
      <c r="D230" s="83"/>
      <c r="E230" s="89"/>
      <c r="F230" s="89"/>
      <c r="G230" s="91"/>
      <c r="H230" s="89"/>
      <c r="I230" s="128"/>
      <c r="J230" s="128"/>
      <c r="K230" s="128"/>
      <c r="L230" s="128"/>
      <c r="M230" s="128"/>
      <c r="N230" s="128"/>
      <c r="O230" s="128"/>
      <c r="P230" s="82"/>
      <c r="Q230" s="23">
        <f t="shared" si="26"/>
        <v>0</v>
      </c>
      <c r="R230" s="23"/>
      <c r="Z230" s="31"/>
      <c r="AA230" s="31"/>
      <c r="AB230" s="31"/>
      <c r="AC230" s="31"/>
      <c r="AD230" s="31"/>
      <c r="AE230" s="31"/>
      <c r="AF230" s="31"/>
      <c r="AG230" s="31"/>
      <c r="AH230" s="31"/>
      <c r="AI230" s="31"/>
      <c r="AJ230" s="31"/>
      <c r="AK230" s="31"/>
      <c r="AL230" s="31"/>
      <c r="AM230" s="31"/>
      <c r="AN230" s="31"/>
      <c r="AO230" s="31"/>
    </row>
    <row r="231" spans="1:41" ht="15.75" customHeight="1">
      <c r="A231" s="24" t="s">
        <v>224</v>
      </c>
      <c r="B231" s="89">
        <f>(' Pivot Table for Data Exchange'!$O$151)*100</f>
        <v>76.184192459130983</v>
      </c>
      <c r="C231" s="89">
        <f>(' Pivot Table for Data Exchange'!$O$154)*100</f>
        <v>13.307436532075725</v>
      </c>
      <c r="D231" s="83">
        <f>SUM(E231:G231)</f>
        <v>10.508371008793295</v>
      </c>
      <c r="E231" s="89">
        <f>(' Pivot Table for Data Exchange'!$O$157)*100</f>
        <v>10.116956139297308</v>
      </c>
      <c r="F231" s="89">
        <f>(' Pivot Table for Data Exchange'!$O$160)*100</f>
        <v>0.26525477807452302</v>
      </c>
      <c r="G231" s="91">
        <f>(' Pivot Table for Data Exchange'!$O$163)*100</f>
        <v>0.12616009142146423</v>
      </c>
      <c r="H231" s="89">
        <f>(' Pivot Table for Data Exchange'!$O$166)*100</f>
        <v>0</v>
      </c>
      <c r="I231" s="128">
        <f>I229+36</f>
        <v>151</v>
      </c>
      <c r="J231" s="128">
        <f t="shared" ref="J231:O231" si="32">I231+3</f>
        <v>154</v>
      </c>
      <c r="K231" s="128">
        <f t="shared" si="32"/>
        <v>157</v>
      </c>
      <c r="L231" s="128">
        <f t="shared" si="32"/>
        <v>160</v>
      </c>
      <c r="M231" s="128">
        <f t="shared" si="32"/>
        <v>163</v>
      </c>
      <c r="N231" s="128">
        <f t="shared" si="32"/>
        <v>166</v>
      </c>
      <c r="O231" s="128">
        <f t="shared" si="32"/>
        <v>169</v>
      </c>
      <c r="P231" s="82"/>
      <c r="Q231" s="23">
        <f t="shared" si="26"/>
        <v>100</v>
      </c>
      <c r="R231" s="23"/>
      <c r="Z231" s="31"/>
      <c r="AA231" s="31"/>
      <c r="AB231" s="31"/>
      <c r="AC231" s="31"/>
      <c r="AD231" s="31"/>
      <c r="AE231" s="31"/>
      <c r="AF231" s="31"/>
      <c r="AG231" s="31"/>
      <c r="AH231" s="31"/>
      <c r="AI231" s="31"/>
      <c r="AJ231" s="31"/>
      <c r="AK231" s="31"/>
      <c r="AL231" s="31"/>
      <c r="AM231" s="31"/>
      <c r="AN231" s="31"/>
      <c r="AO231" s="31"/>
    </row>
    <row r="232" spans="1:41" ht="15.75" customHeight="1">
      <c r="A232" s="24" t="s">
        <v>225</v>
      </c>
      <c r="B232" s="89">
        <f>(' Pivot Table for Data Exchange'!$O$187)*100</f>
        <v>71.859695142669992</v>
      </c>
      <c r="C232" s="89">
        <f>(' Pivot Table for Data Exchange'!$O$190)*100</f>
        <v>7.7563074507214722</v>
      </c>
      <c r="D232" s="83">
        <f>SUM(E232:G232)</f>
        <v>20.38399740660854</v>
      </c>
      <c r="E232" s="89">
        <f>(' Pivot Table for Data Exchange'!$O$193)*100</f>
        <v>19.247381143040261</v>
      </c>
      <c r="F232" s="89">
        <f>(' Pivot Table for Data Exchange'!$O$196)*100</f>
        <v>0.95304162140499649</v>
      </c>
      <c r="G232" s="91">
        <f>(' Pivot Table for Data Exchange'!$O$199)*100</f>
        <v>0.18357464216328107</v>
      </c>
      <c r="H232" s="89">
        <f>(' Pivot Table for Data Exchange'!$O$202)*100</f>
        <v>0</v>
      </c>
      <c r="I232" s="128">
        <f>I231+36</f>
        <v>187</v>
      </c>
      <c r="J232" s="128">
        <f t="shared" ref="J232:O232" si="33">I232+3</f>
        <v>190</v>
      </c>
      <c r="K232" s="128">
        <f t="shared" si="33"/>
        <v>193</v>
      </c>
      <c r="L232" s="128">
        <f t="shared" si="33"/>
        <v>196</v>
      </c>
      <c r="M232" s="128">
        <f t="shared" si="33"/>
        <v>199</v>
      </c>
      <c r="N232" s="128">
        <f t="shared" si="33"/>
        <v>202</v>
      </c>
      <c r="O232" s="128">
        <f t="shared" si="33"/>
        <v>205</v>
      </c>
      <c r="P232" s="82"/>
      <c r="Q232" s="23">
        <f t="shared" si="26"/>
        <v>100.00000000000001</v>
      </c>
      <c r="R232" s="23"/>
      <c r="Z232" s="31"/>
      <c r="AA232" s="31"/>
      <c r="AB232" s="31"/>
      <c r="AC232" s="31"/>
      <c r="AD232" s="31"/>
      <c r="AE232" s="31"/>
      <c r="AF232" s="31"/>
      <c r="AG232" s="31"/>
      <c r="AH232" s="31"/>
      <c r="AI232" s="31"/>
      <c r="AJ232" s="31"/>
      <c r="AK232" s="31"/>
      <c r="AL232" s="31"/>
      <c r="AM232" s="31"/>
      <c r="AN232" s="31"/>
      <c r="AO232" s="31"/>
    </row>
    <row r="233" spans="1:41" ht="15.75" customHeight="1">
      <c r="A233" s="24" t="s">
        <v>226</v>
      </c>
      <c r="B233" s="89">
        <f>(' Pivot Table for Data Exchange'!$O$223)*100</f>
        <v>94.720294835574151</v>
      </c>
      <c r="C233" s="89">
        <f>(' Pivot Table for Data Exchange'!$O$226)*100</f>
        <v>0</v>
      </c>
      <c r="D233" s="83">
        <f>SUM(E233:G233)</f>
        <v>5.2797051644258524</v>
      </c>
      <c r="E233" s="89">
        <f>(' Pivot Table for Data Exchange'!$O$229)*100</f>
        <v>4.8215353981721245</v>
      </c>
      <c r="F233" s="89">
        <f>(' Pivot Table for Data Exchange'!$O$232)*100</f>
        <v>0.26723840547751398</v>
      </c>
      <c r="G233" s="91">
        <f>(' Pivot Table for Data Exchange'!$O$235)*100</f>
        <v>0.19093136077621403</v>
      </c>
      <c r="H233" s="89">
        <f>(' Pivot Table for Data Exchange'!$O$238)*100</f>
        <v>0</v>
      </c>
      <c r="I233" s="128">
        <f>I232+36</f>
        <v>223</v>
      </c>
      <c r="J233" s="128">
        <f t="shared" ref="J233:O233" si="34">I233+3</f>
        <v>226</v>
      </c>
      <c r="K233" s="128">
        <f t="shared" si="34"/>
        <v>229</v>
      </c>
      <c r="L233" s="128">
        <f t="shared" si="34"/>
        <v>232</v>
      </c>
      <c r="M233" s="128">
        <f t="shared" si="34"/>
        <v>235</v>
      </c>
      <c r="N233" s="128">
        <f t="shared" si="34"/>
        <v>238</v>
      </c>
      <c r="O233" s="128">
        <f t="shared" si="34"/>
        <v>241</v>
      </c>
      <c r="P233" s="82"/>
      <c r="Q233" s="23">
        <f t="shared" si="26"/>
        <v>100</v>
      </c>
      <c r="R233" s="23"/>
      <c r="Z233" s="31"/>
      <c r="AA233" s="31"/>
      <c r="AB233" s="31"/>
      <c r="AC233" s="31"/>
      <c r="AD233" s="31"/>
      <c r="AE233" s="31"/>
      <c r="AF233" s="31"/>
      <c r="AG233" s="31"/>
      <c r="AH233" s="31"/>
      <c r="AI233" s="31"/>
      <c r="AJ233" s="31"/>
      <c r="AK233" s="31"/>
      <c r="AL233" s="31"/>
      <c r="AM233" s="31"/>
      <c r="AN233" s="31"/>
      <c r="AO233" s="31"/>
    </row>
    <row r="234" spans="1:41" ht="15.75" customHeight="1">
      <c r="A234" s="24" t="s">
        <v>227</v>
      </c>
      <c r="B234" s="89">
        <f>(' Pivot Table for Data Exchange'!$O$259)*100</f>
        <v>79.937462239501428</v>
      </c>
      <c r="C234" s="89">
        <f>(' Pivot Table for Data Exchange'!$O$262)*100</f>
        <v>8.8623331366080063</v>
      </c>
      <c r="D234" s="83">
        <f>SUM(E234:G234)</f>
        <v>11.19397368934254</v>
      </c>
      <c r="E234" s="89">
        <f>(' Pivot Table for Data Exchange'!$O$265)*100</f>
        <v>10.770625066728677</v>
      </c>
      <c r="F234" s="89">
        <f>(' Pivot Table for Data Exchange'!$O$268)*100</f>
        <v>0.19292235322096074</v>
      </c>
      <c r="G234" s="91">
        <f>(' Pivot Table for Data Exchange'!$O$271)*100</f>
        <v>0.23042626939290142</v>
      </c>
      <c r="H234" s="156">
        <f>(' Pivot Table for Data Exchange'!$O$274)*100</f>
        <v>6.2309345480195833E-3</v>
      </c>
      <c r="I234" s="128">
        <f>I233+36</f>
        <v>259</v>
      </c>
      <c r="J234" s="128">
        <f t="shared" ref="J234:O234" si="35">I234+3</f>
        <v>262</v>
      </c>
      <c r="K234" s="128">
        <f t="shared" si="35"/>
        <v>265</v>
      </c>
      <c r="L234" s="128">
        <f t="shared" si="35"/>
        <v>268</v>
      </c>
      <c r="M234" s="128">
        <f t="shared" si="35"/>
        <v>271</v>
      </c>
      <c r="N234" s="128">
        <f t="shared" si="35"/>
        <v>274</v>
      </c>
      <c r="O234" s="128">
        <f t="shared" si="35"/>
        <v>277</v>
      </c>
      <c r="P234" s="82"/>
      <c r="Q234" s="23">
        <f t="shared" si="26"/>
        <v>99.999999999999986</v>
      </c>
      <c r="R234" s="23"/>
      <c r="Z234" s="31"/>
      <c r="AA234" s="31"/>
      <c r="AB234" s="31"/>
      <c r="AC234" s="31"/>
      <c r="AD234" s="31"/>
      <c r="AE234" s="31"/>
      <c r="AF234" s="31"/>
      <c r="AG234" s="31"/>
      <c r="AH234" s="31"/>
      <c r="AI234" s="31"/>
      <c r="AJ234" s="31"/>
      <c r="AK234" s="31"/>
      <c r="AL234" s="31"/>
      <c r="AM234" s="31"/>
      <c r="AN234" s="31"/>
      <c r="AO234" s="31"/>
    </row>
    <row r="235" spans="1:41" ht="15.75" customHeight="1">
      <c r="A235" s="24"/>
      <c r="B235" s="89"/>
      <c r="C235" s="89"/>
      <c r="D235" s="83"/>
      <c r="E235" s="89"/>
      <c r="F235" s="89"/>
      <c r="G235" s="91"/>
      <c r="H235" s="89"/>
      <c r="I235" s="128"/>
      <c r="J235" s="128"/>
      <c r="K235" s="128"/>
      <c r="L235" s="128"/>
      <c r="M235" s="128"/>
      <c r="N235" s="128"/>
      <c r="O235" s="128"/>
      <c r="P235" s="82"/>
      <c r="Q235" s="23">
        <f t="shared" si="26"/>
        <v>0</v>
      </c>
      <c r="R235" s="23"/>
      <c r="Z235" s="31"/>
      <c r="AA235" s="31"/>
      <c r="AB235" s="31"/>
      <c r="AC235" s="31"/>
      <c r="AD235" s="31"/>
      <c r="AE235" s="31"/>
      <c r="AF235" s="31"/>
      <c r="AG235" s="31"/>
      <c r="AH235" s="31"/>
      <c r="AI235" s="31"/>
      <c r="AJ235" s="31"/>
      <c r="AK235" s="31"/>
      <c r="AL235" s="31"/>
      <c r="AM235" s="31"/>
      <c r="AN235" s="31"/>
      <c r="AO235" s="31"/>
    </row>
    <row r="236" spans="1:41" ht="15.75" customHeight="1">
      <c r="A236" s="586" t="s">
        <v>899</v>
      </c>
      <c r="B236" s="153">
        <f>(' Pivot Table for Data Exchange'!$O$295)*100</f>
        <v>85.758953207225147</v>
      </c>
      <c r="C236" s="89">
        <f>(' Pivot Table for Data Exchange'!$O$298)*100</f>
        <v>0</v>
      </c>
      <c r="D236" s="83">
        <f>SUM(E236:G236)</f>
        <v>14.241046792774853</v>
      </c>
      <c r="E236" s="89">
        <f>(' Pivot Table for Data Exchange'!$O$301)*100</f>
        <v>14.241046792774853</v>
      </c>
      <c r="F236" s="89">
        <f>(' Pivot Table for Data Exchange'!$O$304)*100</f>
        <v>0</v>
      </c>
      <c r="G236" s="91">
        <f>(' Pivot Table for Data Exchange'!$O$307)*100</f>
        <v>0</v>
      </c>
      <c r="H236" s="89">
        <f>(' Pivot Table for Data Exchange'!$O$310)*100</f>
        <v>0</v>
      </c>
      <c r="I236" s="128">
        <f>I234+36</f>
        <v>295</v>
      </c>
      <c r="J236" s="128">
        <f t="shared" ref="J236:O236" si="36">I236+3</f>
        <v>298</v>
      </c>
      <c r="K236" s="128">
        <f t="shared" si="36"/>
        <v>301</v>
      </c>
      <c r="L236" s="128">
        <f t="shared" si="36"/>
        <v>304</v>
      </c>
      <c r="M236" s="128">
        <f t="shared" si="36"/>
        <v>307</v>
      </c>
      <c r="N236" s="128">
        <f t="shared" si="36"/>
        <v>310</v>
      </c>
      <c r="O236" s="128">
        <f t="shared" si="36"/>
        <v>313</v>
      </c>
      <c r="P236" s="82"/>
      <c r="Q236" s="23">
        <f t="shared" si="26"/>
        <v>100</v>
      </c>
      <c r="R236" s="23"/>
      <c r="Z236" s="31"/>
      <c r="AA236" s="31"/>
      <c r="AB236" s="31"/>
      <c r="AC236" s="31"/>
      <c r="AD236" s="31"/>
      <c r="AE236" s="31"/>
      <c r="AF236" s="31"/>
      <c r="AG236" s="31"/>
      <c r="AH236" s="31"/>
      <c r="AI236" s="31"/>
      <c r="AJ236" s="31"/>
      <c r="AK236" s="31"/>
      <c r="AL236" s="31"/>
      <c r="AM236" s="31"/>
      <c r="AN236" s="31"/>
      <c r="AO236" s="31"/>
    </row>
    <row r="237" spans="1:41" ht="15.75" customHeight="1">
      <c r="A237" s="24" t="s">
        <v>212</v>
      </c>
      <c r="B237" s="89">
        <f>(' Pivot Table for Data Exchange'!$O$331)*100</f>
        <v>66.323841251073432</v>
      </c>
      <c r="C237" s="89">
        <f>(' Pivot Table for Data Exchange'!$O$334)*100</f>
        <v>15.722638163090053</v>
      </c>
      <c r="D237" s="83">
        <f>SUM(E237:G237)</f>
        <v>17.953520585836529</v>
      </c>
      <c r="E237" s="89">
        <f>(' Pivot Table for Data Exchange'!$O$337)*100</f>
        <v>12.58767482102556</v>
      </c>
      <c r="F237" s="89">
        <f>(' Pivot Table for Data Exchange'!$O$340)*100</f>
        <v>0.40567971450394197</v>
      </c>
      <c r="G237" s="91">
        <f>(' Pivot Table for Data Exchange'!$O$343)*100</f>
        <v>4.9601660503070288</v>
      </c>
      <c r="H237" s="89">
        <f>(' Pivot Table for Data Exchange'!$O$346)*100</f>
        <v>0</v>
      </c>
      <c r="I237" s="128">
        <f>I236+36</f>
        <v>331</v>
      </c>
      <c r="J237" s="128">
        <f t="shared" ref="J237:O237" si="37">I237+3</f>
        <v>334</v>
      </c>
      <c r="K237" s="128">
        <f t="shared" si="37"/>
        <v>337</v>
      </c>
      <c r="L237" s="128">
        <f t="shared" si="37"/>
        <v>340</v>
      </c>
      <c r="M237" s="128">
        <f t="shared" si="37"/>
        <v>343</v>
      </c>
      <c r="N237" s="128">
        <f t="shared" si="37"/>
        <v>346</v>
      </c>
      <c r="O237" s="128">
        <f t="shared" si="37"/>
        <v>349</v>
      </c>
      <c r="P237" s="82"/>
      <c r="Q237" s="23">
        <f t="shared" si="26"/>
        <v>100.00000000000001</v>
      </c>
      <c r="R237" s="23"/>
      <c r="Z237" s="31"/>
      <c r="AA237" s="31"/>
      <c r="AB237" s="31"/>
      <c r="AC237" s="31"/>
      <c r="AD237" s="31"/>
      <c r="AE237" s="31"/>
      <c r="AF237" s="31"/>
      <c r="AG237" s="31"/>
      <c r="AH237" s="31"/>
      <c r="AI237" s="31"/>
      <c r="AJ237" s="31"/>
      <c r="AK237" s="31"/>
      <c r="AL237" s="31"/>
      <c r="AM237" s="31"/>
      <c r="AN237" s="31"/>
      <c r="AO237" s="31"/>
    </row>
    <row r="238" spans="1:41" ht="15.75" customHeight="1">
      <c r="A238" s="24" t="s">
        <v>205</v>
      </c>
      <c r="B238" s="89">
        <f>(' Pivot Table for Data Exchange'!$O$367)*100</f>
        <v>74.644821874914555</v>
      </c>
      <c r="C238" s="89">
        <f>(' Pivot Table for Data Exchange'!$O$370)*100</f>
        <v>6.37802493189991</v>
      </c>
      <c r="D238" s="83">
        <f>SUM(E238:G238)</f>
        <v>18.267444487454188</v>
      </c>
      <c r="E238" s="89">
        <f>(' Pivot Table for Data Exchange'!$O$373)*100</f>
        <v>15.900453712803969</v>
      </c>
      <c r="F238" s="89">
        <f>(' Pivot Table for Data Exchange'!$O$376)*100</f>
        <v>1.6496554344087848</v>
      </c>
      <c r="G238" s="91">
        <f>(' Pivot Table for Data Exchange'!$O$379)*100</f>
        <v>0.71733534024143331</v>
      </c>
      <c r="H238" s="89">
        <f>(' Pivot Table for Data Exchange'!$O$382)*100</f>
        <v>0.70970870573134393</v>
      </c>
      <c r="I238" s="128">
        <f>I237+36</f>
        <v>367</v>
      </c>
      <c r="J238" s="128">
        <f t="shared" ref="J238:O238" si="38">I238+3</f>
        <v>370</v>
      </c>
      <c r="K238" s="128">
        <f t="shared" si="38"/>
        <v>373</v>
      </c>
      <c r="L238" s="128">
        <f t="shared" si="38"/>
        <v>376</v>
      </c>
      <c r="M238" s="128">
        <f t="shared" si="38"/>
        <v>379</v>
      </c>
      <c r="N238" s="128">
        <f t="shared" si="38"/>
        <v>382</v>
      </c>
      <c r="O238" s="128">
        <f t="shared" si="38"/>
        <v>385</v>
      </c>
      <c r="P238" s="82"/>
      <c r="Q238" s="23">
        <f t="shared" si="26"/>
        <v>100</v>
      </c>
      <c r="R238" s="23"/>
      <c r="Z238" s="31"/>
      <c r="AA238" s="31"/>
      <c r="AB238" s="31"/>
      <c r="AC238" s="31"/>
      <c r="AD238" s="31"/>
      <c r="AE238" s="31"/>
      <c r="AF238" s="31"/>
      <c r="AG238" s="31"/>
      <c r="AH238" s="31"/>
      <c r="AI238" s="31"/>
      <c r="AJ238" s="31"/>
      <c r="AK238" s="31"/>
      <c r="AL238" s="31"/>
      <c r="AM238" s="31"/>
      <c r="AN238" s="31"/>
      <c r="AO238" s="31"/>
    </row>
    <row r="239" spans="1:41" ht="15.75" customHeight="1">
      <c r="A239" s="24" t="s">
        <v>228</v>
      </c>
      <c r="B239" s="89">
        <f>(' Pivot Table for Data Exchange'!$O$403)*100</f>
        <v>78.35501948974219</v>
      </c>
      <c r="C239" s="89">
        <f>(' Pivot Table for Data Exchange'!$O$406)*100</f>
        <v>6.4265429176423403</v>
      </c>
      <c r="D239" s="83">
        <f>SUM(E239:G239)</f>
        <v>15.218437592615471</v>
      </c>
      <c r="E239" s="89">
        <f>(' Pivot Table for Data Exchange'!$O$409)*100</f>
        <v>13.151093977369378</v>
      </c>
      <c r="F239" s="89">
        <f>(' Pivot Table for Data Exchange'!$O$412)*100</f>
        <v>1.8246514468263784</v>
      </c>
      <c r="G239" s="91">
        <f>(' Pivot Table for Data Exchange'!$O$415)*100</f>
        <v>0.24269216841971603</v>
      </c>
      <c r="H239" s="89">
        <f>(' Pivot Table for Data Exchange'!$O$418)*100</f>
        <v>0</v>
      </c>
      <c r="I239" s="128">
        <f>I238+36</f>
        <v>403</v>
      </c>
      <c r="J239" s="128">
        <f t="shared" ref="J239:O239" si="39">I239+3</f>
        <v>406</v>
      </c>
      <c r="K239" s="128">
        <f t="shared" si="39"/>
        <v>409</v>
      </c>
      <c r="L239" s="128">
        <f t="shared" si="39"/>
        <v>412</v>
      </c>
      <c r="M239" s="128">
        <f t="shared" si="39"/>
        <v>415</v>
      </c>
      <c r="N239" s="128">
        <f t="shared" si="39"/>
        <v>418</v>
      </c>
      <c r="O239" s="128">
        <f t="shared" si="39"/>
        <v>421</v>
      </c>
      <c r="P239" s="82"/>
      <c r="Q239" s="23">
        <f t="shared" si="26"/>
        <v>100</v>
      </c>
      <c r="R239" s="23"/>
      <c r="Z239" s="31"/>
      <c r="AA239" s="31"/>
      <c r="AB239" s="31"/>
      <c r="AC239" s="31"/>
      <c r="AD239" s="31"/>
      <c r="AE239" s="31"/>
      <c r="AF239" s="31"/>
      <c r="AG239" s="31"/>
      <c r="AH239" s="31"/>
      <c r="AI239" s="31"/>
      <c r="AJ239" s="31"/>
      <c r="AK239" s="31"/>
      <c r="AL239" s="31"/>
      <c r="AM239" s="31"/>
      <c r="AN239" s="31"/>
      <c r="AO239" s="31"/>
    </row>
    <row r="240" spans="1:41" ht="10.5" customHeight="1">
      <c r="A240" s="24"/>
      <c r="B240" s="89"/>
      <c r="C240" s="89"/>
      <c r="D240" s="83"/>
      <c r="E240" s="89"/>
      <c r="F240" s="89"/>
      <c r="G240" s="91"/>
      <c r="H240" s="89"/>
      <c r="I240" s="128"/>
      <c r="J240" s="128"/>
      <c r="K240" s="128"/>
      <c r="L240" s="128"/>
      <c r="M240" s="128"/>
      <c r="N240" s="128"/>
      <c r="O240" s="128"/>
      <c r="P240" s="82"/>
      <c r="Q240" s="23">
        <f t="shared" si="26"/>
        <v>0</v>
      </c>
      <c r="R240" s="23"/>
      <c r="Z240" s="31"/>
      <c r="AA240" s="31"/>
      <c r="AB240" s="31"/>
      <c r="AC240" s="31"/>
      <c r="AD240" s="31"/>
      <c r="AE240" s="31"/>
      <c r="AF240" s="31"/>
      <c r="AG240" s="31"/>
      <c r="AH240" s="31"/>
      <c r="AI240" s="31"/>
      <c r="AJ240" s="31"/>
      <c r="AK240" s="31"/>
      <c r="AL240" s="31"/>
      <c r="AM240" s="31"/>
      <c r="AN240" s="31"/>
      <c r="AO240" s="31"/>
    </row>
    <row r="241" spans="1:41" ht="15.75" customHeight="1">
      <c r="A241" s="24" t="s">
        <v>229</v>
      </c>
      <c r="B241" s="89">
        <f>(' Pivot Table for Data Exchange'!$O$439)*100</f>
        <v>80.006239274301421</v>
      </c>
      <c r="C241" s="89">
        <f>(' Pivot Table for Data Exchange'!$O$442)*100</f>
        <v>1.3227012446169135</v>
      </c>
      <c r="D241" s="83">
        <f>SUM(E241:G241)</f>
        <v>18.422671604950573</v>
      </c>
      <c r="E241" s="89">
        <f>(' Pivot Table for Data Exchange'!$O$445)*100</f>
        <v>12.474189828363915</v>
      </c>
      <c r="F241" s="89">
        <f>(' Pivot Table for Data Exchange'!$O$448)*100</f>
        <v>2.0886001858083287</v>
      </c>
      <c r="G241" s="91">
        <f>(' Pivot Table for Data Exchange'!$O$451)*100</f>
        <v>3.8598815907783273</v>
      </c>
      <c r="H241" s="89">
        <f>(' Pivot Table for Data Exchange'!$O$454)*100</f>
        <v>0.24838787613110197</v>
      </c>
      <c r="I241" s="128">
        <f>I239+36</f>
        <v>439</v>
      </c>
      <c r="J241" s="128">
        <f t="shared" ref="J241:O241" si="40">I241+3</f>
        <v>442</v>
      </c>
      <c r="K241" s="128">
        <f t="shared" si="40"/>
        <v>445</v>
      </c>
      <c r="L241" s="128">
        <f t="shared" si="40"/>
        <v>448</v>
      </c>
      <c r="M241" s="128">
        <f t="shared" si="40"/>
        <v>451</v>
      </c>
      <c r="N241" s="128">
        <f t="shared" si="40"/>
        <v>454</v>
      </c>
      <c r="O241" s="128">
        <f t="shared" si="40"/>
        <v>457</v>
      </c>
      <c r="P241" s="82"/>
      <c r="Q241" s="23">
        <f t="shared" si="26"/>
        <v>100.00000000000001</v>
      </c>
      <c r="R241" s="23"/>
      <c r="Z241" s="31"/>
      <c r="AA241" s="31"/>
      <c r="AB241" s="31"/>
      <c r="AC241" s="31"/>
      <c r="AD241" s="31"/>
      <c r="AE241" s="31"/>
      <c r="AF241" s="31"/>
      <c r="AG241" s="31"/>
      <c r="AH241" s="31"/>
      <c r="AI241" s="31"/>
      <c r="AJ241" s="31"/>
      <c r="AK241" s="31"/>
      <c r="AL241" s="31"/>
      <c r="AM241" s="31"/>
      <c r="AN241" s="31"/>
      <c r="AO241" s="31"/>
    </row>
    <row r="242" spans="1:41" ht="15.75" customHeight="1">
      <c r="A242" s="24" t="s">
        <v>213</v>
      </c>
      <c r="B242" s="89">
        <f>(' Pivot Table for Data Exchange'!$O$475)*100</f>
        <v>73.208783694049544</v>
      </c>
      <c r="C242" s="89">
        <f>(' Pivot Table for Data Exchange'!$O$478)*100</f>
        <v>11.534588948329182</v>
      </c>
      <c r="D242" s="83">
        <f>SUM(E242:G242)</f>
        <v>15.256627357621268</v>
      </c>
      <c r="E242" s="89">
        <f>(' Pivot Table for Data Exchange'!$O$481)*100</f>
        <v>14.088154372661519</v>
      </c>
      <c r="F242" s="89">
        <f>(' Pivot Table for Data Exchange'!$O$484)*100</f>
        <v>0.5553307750986417</v>
      </c>
      <c r="G242" s="91">
        <f>(' Pivot Table for Data Exchange'!$O$487)*100</f>
        <v>0.6131422098611079</v>
      </c>
      <c r="H242" s="89">
        <f>(' Pivot Table for Data Exchange'!$O$490)*100</f>
        <v>0</v>
      </c>
      <c r="I242" s="128">
        <f>I241+36</f>
        <v>475</v>
      </c>
      <c r="J242" s="128">
        <f t="shared" ref="J242:O242" si="41">I242+3</f>
        <v>478</v>
      </c>
      <c r="K242" s="128">
        <f t="shared" si="41"/>
        <v>481</v>
      </c>
      <c r="L242" s="128">
        <f t="shared" si="41"/>
        <v>484</v>
      </c>
      <c r="M242" s="128">
        <f t="shared" si="41"/>
        <v>487</v>
      </c>
      <c r="N242" s="128">
        <f t="shared" si="41"/>
        <v>490</v>
      </c>
      <c r="O242" s="128">
        <f t="shared" si="41"/>
        <v>493</v>
      </c>
      <c r="P242" s="82"/>
      <c r="Q242" s="23">
        <f t="shared" si="26"/>
        <v>100</v>
      </c>
      <c r="R242" s="23"/>
      <c r="Z242" s="31"/>
      <c r="AA242" s="31"/>
      <c r="AB242" s="31"/>
      <c r="AC242" s="31"/>
      <c r="AD242" s="31"/>
      <c r="AE242" s="31"/>
      <c r="AF242" s="31"/>
      <c r="AG242" s="31"/>
      <c r="AH242" s="31"/>
      <c r="AI242" s="31"/>
      <c r="AJ242" s="31"/>
      <c r="AK242" s="31"/>
      <c r="AL242" s="31"/>
      <c r="AM242" s="31"/>
      <c r="AN242" s="31"/>
      <c r="AO242" s="31"/>
    </row>
    <row r="243" spans="1:41" ht="15.75" customHeight="1">
      <c r="A243" s="24" t="s">
        <v>230</v>
      </c>
      <c r="B243" s="89">
        <f>(' Pivot Table for Data Exchange'!$O$511)*100</f>
        <v>0</v>
      </c>
      <c r="C243" s="89">
        <f>(' Pivot Table for Data Exchange'!$O$514)*100</f>
        <v>0</v>
      </c>
      <c r="D243" s="83">
        <f>SUM(E243:G243)</f>
        <v>0</v>
      </c>
      <c r="E243" s="89">
        <f>(' Pivot Table for Data Exchange'!$O$517)*100</f>
        <v>0</v>
      </c>
      <c r="F243" s="89">
        <f>(' Pivot Table for Data Exchange'!$O$520)*100</f>
        <v>0</v>
      </c>
      <c r="G243" s="91">
        <f>(' Pivot Table for Data Exchange'!$O$523)*100</f>
        <v>0</v>
      </c>
      <c r="H243" s="89">
        <f>(' Pivot Table for Data Exchange'!$O$526)*100</f>
        <v>0</v>
      </c>
      <c r="I243" s="128">
        <f>I242+36</f>
        <v>511</v>
      </c>
      <c r="J243" s="128">
        <f t="shared" ref="J243:O243" si="42">I243+3</f>
        <v>514</v>
      </c>
      <c r="K243" s="128">
        <f t="shared" si="42"/>
        <v>517</v>
      </c>
      <c r="L243" s="128">
        <f t="shared" si="42"/>
        <v>520</v>
      </c>
      <c r="M243" s="128">
        <f t="shared" si="42"/>
        <v>523</v>
      </c>
      <c r="N243" s="128">
        <f t="shared" si="42"/>
        <v>526</v>
      </c>
      <c r="O243" s="128">
        <f t="shared" si="42"/>
        <v>529</v>
      </c>
      <c r="P243" s="82"/>
      <c r="Q243" s="23">
        <f t="shared" si="26"/>
        <v>0</v>
      </c>
      <c r="R243" s="23"/>
      <c r="Z243" s="31"/>
      <c r="AA243" s="31"/>
      <c r="AB243" s="31"/>
      <c r="AC243" s="31"/>
      <c r="AD243" s="31"/>
      <c r="AE243" s="31"/>
      <c r="AF243" s="31"/>
      <c r="AG243" s="31"/>
      <c r="AH243" s="31"/>
      <c r="AI243" s="31"/>
      <c r="AJ243" s="31"/>
      <c r="AK243" s="31"/>
      <c r="AL243" s="31"/>
      <c r="AM243" s="31"/>
      <c r="AN243" s="31"/>
      <c r="AO243" s="31"/>
    </row>
    <row r="244" spans="1:41" ht="15.75" customHeight="1">
      <c r="A244" s="18" t="s">
        <v>206</v>
      </c>
      <c r="B244" s="92">
        <f>(' Pivot Table for Data Exchange'!$O$547)*100</f>
        <v>61.433844063268324</v>
      </c>
      <c r="C244" s="92">
        <f>(' Pivot Table for Data Exchange'!$O$550)*100</f>
        <v>22.620672182780282</v>
      </c>
      <c r="D244" s="84">
        <f>SUM(E244:G244)</f>
        <v>15.94548375395139</v>
      </c>
      <c r="E244" s="92">
        <f>(' Pivot Table for Data Exchange'!$O$553)*100</f>
        <v>15.304048412821796</v>
      </c>
      <c r="F244" s="92">
        <f>(' Pivot Table for Data Exchange'!$O$556)*100</f>
        <v>0</v>
      </c>
      <c r="G244" s="93">
        <f>(' Pivot Table for Data Exchange'!$O$559)*100</f>
        <v>0.64143534112959411</v>
      </c>
      <c r="H244" s="157">
        <f>(' Pivot Table for Data Exchange'!$O$562)*100</f>
        <v>0</v>
      </c>
      <c r="I244" s="128">
        <f>I243+36</f>
        <v>547</v>
      </c>
      <c r="J244" s="128">
        <f t="shared" ref="J244:O244" si="43">I244+3</f>
        <v>550</v>
      </c>
      <c r="K244" s="128">
        <f t="shared" si="43"/>
        <v>553</v>
      </c>
      <c r="L244" s="128">
        <f t="shared" si="43"/>
        <v>556</v>
      </c>
      <c r="M244" s="128">
        <f t="shared" si="43"/>
        <v>559</v>
      </c>
      <c r="N244" s="128">
        <f t="shared" si="43"/>
        <v>562</v>
      </c>
      <c r="O244" s="128">
        <f t="shared" si="43"/>
        <v>565</v>
      </c>
      <c r="P244" s="82"/>
      <c r="Q244" s="23">
        <f t="shared" si="26"/>
        <v>100</v>
      </c>
      <c r="R244" s="23"/>
      <c r="Z244" s="31"/>
      <c r="AA244" s="31"/>
      <c r="AB244" s="31"/>
      <c r="AC244" s="31"/>
      <c r="AD244" s="31"/>
      <c r="AE244" s="31"/>
      <c r="AF244" s="31"/>
      <c r="AG244" s="31"/>
      <c r="AH244" s="31"/>
      <c r="AI244" s="31"/>
      <c r="AJ244" s="31"/>
      <c r="AK244" s="31"/>
      <c r="AL244" s="31"/>
      <c r="AM244" s="31"/>
      <c r="AN244" s="31"/>
      <c r="AO244" s="31"/>
    </row>
    <row r="245" spans="1:41" s="45" customFormat="1" ht="18" customHeight="1">
      <c r="A245" s="85" t="s">
        <v>35</v>
      </c>
      <c r="B245" s="49"/>
      <c r="C245" s="49"/>
      <c r="D245" s="50"/>
      <c r="E245" s="49"/>
      <c r="F245" s="50"/>
      <c r="G245" s="50"/>
      <c r="H245" s="49"/>
      <c r="I245" s="85"/>
      <c r="J245" s="49"/>
      <c r="K245" s="49"/>
      <c r="L245" s="50"/>
      <c r="M245" s="49"/>
      <c r="N245" s="50"/>
      <c r="O245" s="50"/>
      <c r="P245" s="49"/>
      <c r="Q245" s="23">
        <f t="shared" si="26"/>
        <v>0</v>
      </c>
      <c r="R245" s="49"/>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row>
    <row r="246" spans="1:41" s="45" customFormat="1" ht="28.5" customHeight="1">
      <c r="A246" s="599" t="s">
        <v>898</v>
      </c>
      <c r="B246" s="600"/>
      <c r="C246" s="600"/>
      <c r="D246" s="600"/>
      <c r="E246" s="600"/>
      <c r="F246" s="600"/>
      <c r="G246" s="600"/>
      <c r="H246" s="600"/>
      <c r="I246" s="85"/>
      <c r="P246" s="46"/>
      <c r="Q246" s="23">
        <f t="shared" si="26"/>
        <v>0</v>
      </c>
      <c r="R246" s="48"/>
    </row>
    <row r="247" spans="1:41" ht="12" customHeight="1">
      <c r="A247" s="24"/>
      <c r="B247" s="77"/>
      <c r="C247" s="77"/>
      <c r="D247" s="76"/>
      <c r="E247" s="77"/>
      <c r="F247" s="76"/>
      <c r="G247" s="76"/>
      <c r="H247" s="77"/>
      <c r="I247" s="24"/>
      <c r="J247" s="77"/>
      <c r="K247" s="77"/>
      <c r="L247" s="76"/>
      <c r="M247" s="77"/>
      <c r="N247" s="76"/>
      <c r="O247" s="76"/>
      <c r="P247" s="77"/>
      <c r="Q247" s="23">
        <f t="shared" si="26"/>
        <v>0</v>
      </c>
      <c r="R247" s="23"/>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row>
    <row r="248" spans="1:41" s="45" customFormat="1">
      <c r="H248" s="572" t="s">
        <v>889</v>
      </c>
      <c r="I248" s="43"/>
      <c r="J248" s="43"/>
      <c r="K248" s="43"/>
      <c r="L248" s="43"/>
      <c r="M248" s="43"/>
      <c r="N248" s="43"/>
      <c r="O248" s="43"/>
      <c r="P248" s="43"/>
      <c r="Q248" s="23">
        <f t="shared" si="26"/>
        <v>0</v>
      </c>
      <c r="R248" s="43"/>
    </row>
    <row r="249" spans="1:41" ht="18">
      <c r="A249" s="15" t="s">
        <v>7</v>
      </c>
      <c r="B249" s="16"/>
      <c r="C249" s="16"/>
      <c r="D249" s="16"/>
      <c r="E249" s="16"/>
      <c r="F249" s="16"/>
      <c r="G249" s="16"/>
      <c r="H249" s="30"/>
      <c r="I249" s="29"/>
      <c r="J249" s="24"/>
      <c r="K249" s="24"/>
      <c r="L249" s="24"/>
      <c r="M249" s="24"/>
      <c r="N249" s="24"/>
      <c r="O249" s="24"/>
      <c r="P249" s="24"/>
      <c r="Q249" s="23">
        <f t="shared" si="26"/>
        <v>0</v>
      </c>
    </row>
    <row r="250" spans="1:41">
      <c r="A250" s="58"/>
      <c r="B250" s="17"/>
      <c r="C250" s="17"/>
      <c r="D250" s="17"/>
      <c r="E250" s="17"/>
      <c r="F250" s="17"/>
      <c r="G250" s="17"/>
      <c r="H250" s="27"/>
      <c r="I250" s="29"/>
      <c r="J250" s="24"/>
      <c r="K250" s="24"/>
      <c r="L250" s="24"/>
      <c r="M250" s="24"/>
      <c r="N250" s="24"/>
      <c r="O250" s="24"/>
      <c r="P250" s="24"/>
      <c r="Q250" s="23">
        <f t="shared" si="26"/>
        <v>0</v>
      </c>
    </row>
    <row r="251" spans="1:41" ht="15.75">
      <c r="A251" s="26" t="s">
        <v>23</v>
      </c>
      <c r="B251" s="17"/>
      <c r="C251" s="17"/>
      <c r="D251" s="17"/>
      <c r="E251" s="17"/>
      <c r="F251" s="17"/>
      <c r="G251" s="17"/>
      <c r="H251" s="27"/>
      <c r="I251" s="29"/>
      <c r="J251" s="24"/>
      <c r="K251" s="24"/>
      <c r="L251" s="24"/>
      <c r="M251" s="24"/>
      <c r="N251" s="24"/>
      <c r="O251" s="24"/>
      <c r="P251" s="24"/>
      <c r="Q251" s="23">
        <f t="shared" si="26"/>
        <v>0</v>
      </c>
    </row>
    <row r="252" spans="1:41" ht="15.75">
      <c r="A252" s="26" t="s">
        <v>760</v>
      </c>
      <c r="B252" s="17"/>
      <c r="C252" s="17"/>
      <c r="D252" s="17"/>
      <c r="E252" s="17"/>
      <c r="F252" s="17"/>
      <c r="G252" s="17"/>
      <c r="H252" s="27"/>
      <c r="I252" s="29"/>
      <c r="J252" s="24"/>
      <c r="K252" s="24"/>
      <c r="L252" s="24"/>
      <c r="M252" s="24"/>
      <c r="N252" s="24"/>
      <c r="O252" s="24"/>
      <c r="P252" s="24"/>
      <c r="Q252" s="23">
        <f t="shared" si="26"/>
        <v>0</v>
      </c>
    </row>
    <row r="253" spans="1:41">
      <c r="A253" s="18"/>
      <c r="B253" s="19"/>
      <c r="C253" s="19"/>
      <c r="D253" s="19"/>
      <c r="E253" s="19"/>
      <c r="F253" s="19"/>
      <c r="G253" s="19"/>
      <c r="H253" s="19"/>
      <c r="I253" s="29"/>
      <c r="J253" s="24"/>
      <c r="K253" s="24"/>
      <c r="L253" s="24"/>
      <c r="M253" s="24"/>
      <c r="N253" s="24"/>
      <c r="O253" s="24"/>
      <c r="P253" s="24"/>
      <c r="Q253" s="23">
        <f t="shared" si="26"/>
        <v>0</v>
      </c>
    </row>
    <row r="254" spans="1:41">
      <c r="A254" s="63"/>
      <c r="B254" s="64" t="s">
        <v>215</v>
      </c>
      <c r="C254" s="64"/>
      <c r="D254" s="64"/>
      <c r="E254" s="64"/>
      <c r="F254" s="64"/>
      <c r="G254" s="64"/>
      <c r="H254" s="65"/>
      <c r="I254" s="29"/>
      <c r="J254" s="24"/>
      <c r="K254" s="24"/>
      <c r="L254" s="24"/>
      <c r="M254" s="24"/>
      <c r="N254" s="24"/>
      <c r="O254" s="24"/>
      <c r="P254" s="24"/>
      <c r="Q254" s="23">
        <f t="shared" si="26"/>
        <v>0</v>
      </c>
    </row>
    <row r="255" spans="1:41">
      <c r="A255" s="63"/>
      <c r="B255" s="64" t="s">
        <v>209</v>
      </c>
      <c r="C255" s="64"/>
      <c r="D255" s="597" t="s">
        <v>30</v>
      </c>
      <c r="E255" s="598"/>
      <c r="F255" s="598"/>
      <c r="G255" s="598"/>
      <c r="H255" s="68" t="s">
        <v>196</v>
      </c>
      <c r="I255" s="29"/>
      <c r="J255" s="24"/>
      <c r="K255" s="24"/>
      <c r="L255" s="24"/>
      <c r="M255" s="24"/>
      <c r="N255" s="24"/>
      <c r="O255" s="24"/>
      <c r="P255" s="24"/>
      <c r="Q255" s="23">
        <f t="shared" si="26"/>
        <v>0</v>
      </c>
    </row>
    <row r="256" spans="1:41" ht="36">
      <c r="A256" s="63"/>
      <c r="B256" s="69" t="s">
        <v>22</v>
      </c>
      <c r="C256" s="70" t="s">
        <v>21</v>
      </c>
      <c r="D256" s="71" t="s">
        <v>28</v>
      </c>
      <c r="E256" s="72" t="s">
        <v>195</v>
      </c>
      <c r="F256" s="69" t="s">
        <v>210</v>
      </c>
      <c r="G256" s="73" t="s">
        <v>32</v>
      </c>
      <c r="H256" s="74" t="s">
        <v>31</v>
      </c>
      <c r="I256" s="29"/>
      <c r="J256" s="24"/>
      <c r="K256" s="24"/>
      <c r="L256" s="24"/>
      <c r="M256" s="24"/>
      <c r="N256" s="24"/>
      <c r="O256" s="24"/>
      <c r="P256" s="24"/>
      <c r="Q256" s="23">
        <f t="shared" si="26"/>
        <v>0</v>
      </c>
    </row>
    <row r="257" spans="1:41" ht="15.75" customHeight="1">
      <c r="A257" s="25" t="s">
        <v>220</v>
      </c>
      <c r="B257" s="89">
        <f>(' Pivot Table for Data Exchange'!$K$7)*100</f>
        <v>0</v>
      </c>
      <c r="C257" s="89">
        <f>(' Pivot Table for Data Exchange'!$K$10)*100</f>
        <v>0</v>
      </c>
      <c r="D257" s="83">
        <f>SUM(E257:G257)</f>
        <v>0</v>
      </c>
      <c r="E257" s="89">
        <f>(' Pivot Table for Data Exchange'!$K$13)*100</f>
        <v>0</v>
      </c>
      <c r="F257" s="89">
        <f>(' Pivot Table for Data Exchange'!$K$16)*100</f>
        <v>0</v>
      </c>
      <c r="G257" s="90">
        <f>(' Pivot Table for Data Exchange'!$K$19)*100</f>
        <v>0</v>
      </c>
      <c r="H257" s="89">
        <f>(' Pivot Table for Data Exchange'!$K$22)*100</f>
        <v>0</v>
      </c>
      <c r="I257" s="24"/>
      <c r="J257" s="82"/>
      <c r="K257" s="82"/>
      <c r="L257" s="82"/>
      <c r="M257" s="82"/>
      <c r="N257" s="82"/>
      <c r="O257" s="82"/>
      <c r="P257" s="82"/>
      <c r="Q257" s="23">
        <f t="shared" si="26"/>
        <v>0</v>
      </c>
      <c r="R257" s="23"/>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row>
    <row r="258" spans="1:41" ht="15.75" customHeight="1">
      <c r="A258" s="24" t="s">
        <v>221</v>
      </c>
      <c r="B258" s="89">
        <f>(' Pivot Table for Data Exchange'!$K$43)*100</f>
        <v>0</v>
      </c>
      <c r="C258" s="89">
        <f>(' Pivot Table for Data Exchange'!$K$46)*100</f>
        <v>0</v>
      </c>
      <c r="D258" s="83">
        <f>SUM(E258:G258)</f>
        <v>0</v>
      </c>
      <c r="E258" s="89">
        <f>(' Pivot Table for Data Exchange'!$K$49)*100</f>
        <v>0</v>
      </c>
      <c r="F258" s="89">
        <f>(' Pivot Table for Data Exchange'!$K$52)*100</f>
        <v>0</v>
      </c>
      <c r="G258" s="91">
        <f>(' Pivot Table for Data Exchange'!$K$55)*100</f>
        <v>0</v>
      </c>
      <c r="H258" s="89">
        <f>(' Pivot Table for Data Exchange'!$K$58)*100</f>
        <v>0</v>
      </c>
      <c r="I258" s="24"/>
      <c r="J258" s="82"/>
      <c r="K258" s="82"/>
      <c r="L258" s="82"/>
      <c r="M258" s="82"/>
      <c r="N258" s="82"/>
      <c r="O258" s="82"/>
      <c r="P258" s="82"/>
      <c r="Q258" s="23">
        <f t="shared" si="26"/>
        <v>0</v>
      </c>
      <c r="R258" s="23"/>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row>
    <row r="259" spans="1:41" ht="15.75" customHeight="1">
      <c r="A259" s="24" t="s">
        <v>222</v>
      </c>
      <c r="B259" s="89">
        <f>(' Pivot Table for Data Exchange'!$K$79)*100</f>
        <v>0</v>
      </c>
      <c r="C259" s="89">
        <f>(' Pivot Table for Data Exchange'!$K$82)*100</f>
        <v>0</v>
      </c>
      <c r="D259" s="83">
        <f>SUM(E259:G259)</f>
        <v>0</v>
      </c>
      <c r="E259" s="89">
        <f>(' Pivot Table for Data Exchange'!$K$85)*100</f>
        <v>0</v>
      </c>
      <c r="F259" s="89">
        <f>(' Pivot Table for Data Exchange'!$K$88)*100</f>
        <v>0</v>
      </c>
      <c r="G259" s="91">
        <f>(' Pivot Table for Data Exchange'!$K$91)*100</f>
        <v>0</v>
      </c>
      <c r="H259" s="89">
        <f>(' Pivot Table for Data Exchange'!$K$94)*100</f>
        <v>0</v>
      </c>
      <c r="I259" s="24"/>
      <c r="J259" s="82"/>
      <c r="K259" s="82"/>
      <c r="L259" s="82"/>
      <c r="M259" s="82"/>
      <c r="N259" s="82"/>
      <c r="O259" s="82"/>
      <c r="P259" s="82"/>
      <c r="Q259" s="23">
        <f t="shared" si="26"/>
        <v>0</v>
      </c>
      <c r="R259" s="23"/>
      <c r="S259" s="31"/>
      <c r="T259" s="40"/>
      <c r="U259" s="31"/>
      <c r="V259" s="31"/>
      <c r="W259" s="31"/>
      <c r="X259" s="31"/>
      <c r="Y259" s="31"/>
      <c r="Z259" s="31"/>
      <c r="AA259" s="31"/>
      <c r="AB259" s="31"/>
      <c r="AC259" s="31"/>
      <c r="AD259" s="31"/>
      <c r="AE259" s="31"/>
      <c r="AF259" s="31"/>
      <c r="AG259" s="31"/>
      <c r="AH259" s="31"/>
      <c r="AI259" s="31"/>
      <c r="AJ259" s="31"/>
      <c r="AK259" s="31"/>
      <c r="AL259" s="31"/>
      <c r="AM259" s="31"/>
      <c r="AN259" s="31"/>
      <c r="AO259" s="31"/>
    </row>
    <row r="260" spans="1:41" ht="15.75" customHeight="1">
      <c r="A260" s="586" t="s">
        <v>111</v>
      </c>
      <c r="B260" s="89">
        <f>(' Pivot Table for Data Exchange'!$K$115)*100</f>
        <v>82.733631967151894</v>
      </c>
      <c r="C260" s="89">
        <f>(' Pivot Table for Data Exchange'!$K$118)*100</f>
        <v>2.5463553099872049</v>
      </c>
      <c r="D260" s="83">
        <f>SUM(E260:G260)</f>
        <v>13.747195789889664</v>
      </c>
      <c r="E260" s="89">
        <f>(' Pivot Table for Data Exchange'!$K$121)*100</f>
        <v>9.5753504208423603</v>
      </c>
      <c r="F260" s="156">
        <f>(' Pivot Table for Data Exchange'!$K$124)*100</f>
        <v>1.0554191435683289E-2</v>
      </c>
      <c r="G260" s="91">
        <f>(' Pivot Table for Data Exchange'!$K$127)*100</f>
        <v>4.1612911776116199</v>
      </c>
      <c r="H260" s="89">
        <f>(' Pivot Table for Data Exchange'!$K$130)*100</f>
        <v>0.97281693297124583</v>
      </c>
      <c r="I260" s="24"/>
      <c r="J260" s="82"/>
      <c r="K260" s="82"/>
      <c r="L260" s="82"/>
      <c r="M260" s="82"/>
      <c r="N260" s="82"/>
      <c r="O260" s="82"/>
      <c r="P260" s="82"/>
      <c r="Q260" s="23">
        <f t="shared" si="26"/>
        <v>100</v>
      </c>
      <c r="R260" s="23"/>
      <c r="S260" s="31"/>
      <c r="U260" s="31"/>
      <c r="V260" s="31"/>
      <c r="W260" s="31"/>
      <c r="X260" s="31"/>
      <c r="Y260" s="31"/>
      <c r="Z260" s="31"/>
      <c r="AA260" s="31"/>
      <c r="AB260" s="31"/>
      <c r="AC260" s="31"/>
      <c r="AD260" s="31"/>
      <c r="AE260" s="31"/>
      <c r="AF260" s="31"/>
      <c r="AG260" s="31"/>
      <c r="AH260" s="31"/>
      <c r="AI260" s="31"/>
      <c r="AJ260" s="31"/>
      <c r="AK260" s="31"/>
      <c r="AL260" s="31"/>
      <c r="AM260" s="31"/>
      <c r="AN260" s="31"/>
      <c r="AO260" s="31"/>
    </row>
    <row r="261" spans="1:41" ht="15.75" customHeight="1">
      <c r="A261" s="24"/>
      <c r="B261" s="89"/>
      <c r="C261" s="89"/>
      <c r="D261" s="83"/>
      <c r="E261" s="89"/>
      <c r="F261" s="89"/>
      <c r="G261" s="91"/>
      <c r="H261" s="89"/>
      <c r="I261" s="24"/>
      <c r="J261" s="82"/>
      <c r="K261" s="82"/>
      <c r="L261" s="82"/>
      <c r="M261" s="82"/>
      <c r="N261" s="82"/>
      <c r="O261" s="82"/>
      <c r="P261" s="82"/>
      <c r="Q261" s="23">
        <f t="shared" si="26"/>
        <v>0</v>
      </c>
      <c r="R261" s="23"/>
      <c r="S261" s="31"/>
      <c r="U261" s="31"/>
      <c r="V261" s="31"/>
      <c r="W261" s="31"/>
      <c r="X261" s="31"/>
      <c r="Y261" s="31"/>
      <c r="Z261" s="31"/>
      <c r="AA261" s="31"/>
      <c r="AB261" s="31"/>
      <c r="AC261" s="31"/>
      <c r="AD261" s="31"/>
      <c r="AE261" s="31"/>
      <c r="AF261" s="31"/>
      <c r="AG261" s="31"/>
      <c r="AH261" s="31"/>
      <c r="AI261" s="31"/>
      <c r="AJ261" s="31"/>
      <c r="AK261" s="31"/>
      <c r="AL261" s="31"/>
      <c r="AM261" s="31"/>
      <c r="AN261" s="31"/>
      <c r="AO261" s="31"/>
    </row>
    <row r="262" spans="1:41" ht="15.75" customHeight="1">
      <c r="A262" s="24" t="s">
        <v>224</v>
      </c>
      <c r="B262" s="89">
        <f>(' Pivot Table for Data Exchange'!$K$151)*100</f>
        <v>98.099669048875242</v>
      </c>
      <c r="C262" s="89">
        <f>(' Pivot Table for Data Exchange'!$K$154)*100</f>
        <v>1.439877212336323</v>
      </c>
      <c r="D262" s="83">
        <f>SUM(E262:G262)</f>
        <v>0.4604537387884311</v>
      </c>
      <c r="E262" s="89">
        <f>(' Pivot Table for Data Exchange'!$K$157)*100</f>
        <v>0.4604537387884311</v>
      </c>
      <c r="F262" s="89">
        <f>(' Pivot Table for Data Exchange'!$K$160)*100</f>
        <v>0</v>
      </c>
      <c r="G262" s="91">
        <f>(' Pivot Table for Data Exchange'!$K$163)*100</f>
        <v>0</v>
      </c>
      <c r="H262" s="89">
        <f>(' Pivot Table for Data Exchange'!$K$166)*100</f>
        <v>0</v>
      </c>
      <c r="I262" s="24"/>
      <c r="J262" s="82"/>
      <c r="K262" s="82"/>
      <c r="L262" s="82"/>
      <c r="M262" s="82"/>
      <c r="N262" s="82"/>
      <c r="O262" s="82"/>
      <c r="P262" s="82"/>
      <c r="Q262" s="23">
        <f t="shared" si="26"/>
        <v>100</v>
      </c>
      <c r="R262" s="23"/>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row>
    <row r="263" spans="1:41" ht="15.75" customHeight="1">
      <c r="A263" s="24" t="s">
        <v>225</v>
      </c>
      <c r="B263" s="89">
        <f>(' Pivot Table for Data Exchange'!$K$187)*100</f>
        <v>0</v>
      </c>
      <c r="C263" s="89">
        <f>(' Pivot Table for Data Exchange'!$K$190)*100</f>
        <v>0</v>
      </c>
      <c r="D263" s="83">
        <f>SUM(E263:G263)</f>
        <v>0</v>
      </c>
      <c r="E263" s="89">
        <f>(' Pivot Table for Data Exchange'!$K$193)*100</f>
        <v>0</v>
      </c>
      <c r="F263" s="89">
        <f>(' Pivot Table for Data Exchange'!$K$196)*100</f>
        <v>0</v>
      </c>
      <c r="G263" s="91">
        <f>(' Pivot Table for Data Exchange'!$K$199)*100</f>
        <v>0</v>
      </c>
      <c r="H263" s="89">
        <f>(' Pivot Table for Data Exchange'!$K$202)*100</f>
        <v>0</v>
      </c>
      <c r="I263" s="24"/>
      <c r="J263" s="82"/>
      <c r="K263" s="82"/>
      <c r="L263" s="82"/>
      <c r="M263" s="82"/>
      <c r="N263" s="82"/>
      <c r="O263" s="82"/>
      <c r="P263" s="82"/>
      <c r="Q263" s="23">
        <f t="shared" si="26"/>
        <v>0</v>
      </c>
      <c r="R263" s="23"/>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row>
    <row r="264" spans="1:41" ht="15.75" customHeight="1">
      <c r="A264" s="24" t="s">
        <v>226</v>
      </c>
      <c r="B264" s="89">
        <f>(' Pivot Table for Data Exchange'!$K$223)*100</f>
        <v>98.511965290488774</v>
      </c>
      <c r="C264" s="89">
        <f>(' Pivot Table for Data Exchange'!$K$226)*100</f>
        <v>0</v>
      </c>
      <c r="D264" s="83">
        <f>SUM(E264:G264)</f>
        <v>1.4880347095112196</v>
      </c>
      <c r="E264" s="89">
        <f>(' Pivot Table for Data Exchange'!$K$229)*100</f>
        <v>1.4880347095112196</v>
      </c>
      <c r="F264" s="89">
        <f>(' Pivot Table for Data Exchange'!$K$232)*100</f>
        <v>0</v>
      </c>
      <c r="G264" s="91">
        <f>(' Pivot Table for Data Exchange'!$K$235)*100</f>
        <v>0</v>
      </c>
      <c r="H264" s="89">
        <f>(' Pivot Table for Data Exchange'!$K$238)*100</f>
        <v>0</v>
      </c>
      <c r="I264" s="24"/>
      <c r="J264" s="82"/>
      <c r="K264" s="82"/>
      <c r="L264" s="82"/>
      <c r="M264" s="82"/>
      <c r="N264" s="82"/>
      <c r="O264" s="82"/>
      <c r="P264" s="82"/>
      <c r="Q264" s="23">
        <f t="shared" si="26"/>
        <v>100</v>
      </c>
      <c r="R264" s="23"/>
      <c r="S264" s="31"/>
      <c r="T264" s="40"/>
      <c r="U264" s="31"/>
      <c r="V264" s="31"/>
      <c r="W264" s="31"/>
      <c r="X264" s="31"/>
      <c r="Y264" s="31"/>
      <c r="Z264" s="31"/>
      <c r="AA264" s="31"/>
      <c r="AB264" s="31"/>
      <c r="AC264" s="31"/>
      <c r="AD264" s="31"/>
      <c r="AE264" s="31"/>
      <c r="AF264" s="31"/>
      <c r="AG264" s="31"/>
      <c r="AH264" s="31"/>
      <c r="AI264" s="31"/>
      <c r="AJ264" s="31"/>
      <c r="AK264" s="31"/>
      <c r="AL264" s="31"/>
      <c r="AM264" s="31"/>
      <c r="AN264" s="31"/>
      <c r="AO264" s="31"/>
    </row>
    <row r="265" spans="1:41" ht="15.75" customHeight="1">
      <c r="A265" s="24" t="s">
        <v>227</v>
      </c>
      <c r="B265" s="89">
        <f>(' Pivot Table for Data Exchange'!$K$259)*100</f>
        <v>0</v>
      </c>
      <c r="C265" s="89">
        <f>(' Pivot Table for Data Exchange'!$K$262)*100</f>
        <v>0</v>
      </c>
      <c r="D265" s="83">
        <f>SUM(E265:G265)</f>
        <v>0</v>
      </c>
      <c r="E265" s="89">
        <f>(' Pivot Table for Data Exchange'!$K$265)*100</f>
        <v>0</v>
      </c>
      <c r="F265" s="89">
        <f>(' Pivot Table for Data Exchange'!$K$268)*100</f>
        <v>0</v>
      </c>
      <c r="G265" s="91">
        <f>(' Pivot Table for Data Exchange'!$K$271)*100</f>
        <v>0</v>
      </c>
      <c r="H265" s="89">
        <f>(' Pivot Table for Data Exchange'!$K$274)*100</f>
        <v>0</v>
      </c>
      <c r="I265" s="24"/>
      <c r="J265" s="82"/>
      <c r="K265" s="82"/>
      <c r="L265" s="82"/>
      <c r="M265" s="82"/>
      <c r="N265" s="82"/>
      <c r="O265" s="82"/>
      <c r="P265" s="82"/>
      <c r="Q265" s="23">
        <f t="shared" si="26"/>
        <v>0</v>
      </c>
      <c r="R265" s="23"/>
      <c r="S265" s="31"/>
      <c r="U265" s="31"/>
      <c r="V265" s="31"/>
      <c r="W265" s="31"/>
      <c r="X265" s="31"/>
      <c r="Y265" s="31"/>
      <c r="Z265" s="31"/>
      <c r="AA265" s="31"/>
      <c r="AB265" s="31"/>
      <c r="AC265" s="31"/>
      <c r="AD265" s="31"/>
      <c r="AE265" s="31"/>
      <c r="AF265" s="31"/>
      <c r="AG265" s="31"/>
      <c r="AH265" s="31"/>
      <c r="AI265" s="31"/>
      <c r="AJ265" s="31"/>
      <c r="AK265" s="31"/>
      <c r="AL265" s="31"/>
      <c r="AM265" s="31"/>
      <c r="AN265" s="31"/>
      <c r="AO265" s="31"/>
    </row>
    <row r="266" spans="1:41" ht="15.75" customHeight="1">
      <c r="A266" s="24"/>
      <c r="B266" s="89"/>
      <c r="C266" s="89"/>
      <c r="D266" s="83"/>
      <c r="E266" s="89"/>
      <c r="F266" s="89"/>
      <c r="G266" s="91"/>
      <c r="H266" s="89"/>
      <c r="I266" s="24"/>
      <c r="J266" s="82"/>
      <c r="K266" s="82"/>
      <c r="L266" s="82"/>
      <c r="M266" s="82"/>
      <c r="N266" s="82"/>
      <c r="O266" s="82"/>
      <c r="P266" s="82"/>
      <c r="Q266" s="23">
        <f t="shared" si="26"/>
        <v>0</v>
      </c>
      <c r="R266" s="23"/>
      <c r="S266" s="31"/>
      <c r="U266" s="31"/>
      <c r="V266" s="31"/>
      <c r="W266" s="31"/>
      <c r="X266" s="31"/>
      <c r="Y266" s="31"/>
      <c r="Z266" s="31"/>
      <c r="AA266" s="31"/>
      <c r="AB266" s="31"/>
      <c r="AC266" s="31"/>
      <c r="AD266" s="31"/>
      <c r="AE266" s="31"/>
      <c r="AF266" s="31"/>
      <c r="AG266" s="31"/>
      <c r="AH266" s="31"/>
      <c r="AI266" s="31"/>
      <c r="AJ266" s="31"/>
      <c r="AK266" s="31"/>
      <c r="AL266" s="31"/>
      <c r="AM266" s="31"/>
      <c r="AN266" s="31"/>
      <c r="AO266" s="31"/>
    </row>
    <row r="267" spans="1:41" ht="15.75" customHeight="1">
      <c r="A267" s="586" t="s">
        <v>899</v>
      </c>
      <c r="B267" s="89">
        <f>(' Pivot Table for Data Exchange'!$K$295)*100</f>
        <v>0</v>
      </c>
      <c r="C267" s="89">
        <f>(' Pivot Table for Data Exchange'!$K$298)*100</f>
        <v>0</v>
      </c>
      <c r="D267" s="83">
        <f>SUM(E267:G267)</f>
        <v>0</v>
      </c>
      <c r="E267" s="89">
        <f>(' Pivot Table for Data Exchange'!$K$301)*100</f>
        <v>0</v>
      </c>
      <c r="F267" s="89">
        <f>(' Pivot Table for Data Exchange'!$K$304)*100</f>
        <v>0</v>
      </c>
      <c r="G267" s="91">
        <f>(' Pivot Table for Data Exchange'!$K$307)*100</f>
        <v>0</v>
      </c>
      <c r="H267" s="89">
        <f>(' Pivot Table for Data Exchange'!$K$310)*100</f>
        <v>0</v>
      </c>
      <c r="I267" s="24"/>
      <c r="J267" s="82"/>
      <c r="K267" s="82"/>
      <c r="L267" s="82"/>
      <c r="M267" s="82"/>
      <c r="N267" s="82"/>
      <c r="O267" s="82"/>
      <c r="P267" s="82"/>
      <c r="Q267" s="23">
        <f t="shared" ref="Q267:Q330" si="44">SUM(B267,C267,D267,H267)</f>
        <v>0</v>
      </c>
      <c r="R267" s="23"/>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row>
    <row r="268" spans="1:41" ht="15.75" customHeight="1">
      <c r="A268" s="24" t="s">
        <v>212</v>
      </c>
      <c r="B268" s="89">
        <f>(' Pivot Table for Data Exchange'!$K$331)*100</f>
        <v>0</v>
      </c>
      <c r="C268" s="89">
        <f>(' Pivot Table for Data Exchange'!$K$334)*100</f>
        <v>0</v>
      </c>
      <c r="D268" s="83">
        <f>SUM(E268:G268)</f>
        <v>0</v>
      </c>
      <c r="E268" s="89">
        <f>(' Pivot Table for Data Exchange'!$K$337)*100</f>
        <v>0</v>
      </c>
      <c r="F268" s="89">
        <f>(' Pivot Table for Data Exchange'!$K$340)*100</f>
        <v>0</v>
      </c>
      <c r="G268" s="91">
        <f>(' Pivot Table for Data Exchange'!$K$343)*100</f>
        <v>0</v>
      </c>
      <c r="H268" s="89">
        <f>(' Pivot Table for Data Exchange'!$K$346)*100</f>
        <v>0</v>
      </c>
      <c r="I268" s="24"/>
      <c r="J268" s="82"/>
      <c r="K268" s="82"/>
      <c r="L268" s="82"/>
      <c r="M268" s="82"/>
      <c r="N268" s="82"/>
      <c r="O268" s="82"/>
      <c r="P268" s="82"/>
      <c r="Q268" s="23">
        <f t="shared" si="44"/>
        <v>0</v>
      </c>
      <c r="R268" s="23"/>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row>
    <row r="269" spans="1:41" ht="15.75" customHeight="1">
      <c r="A269" s="24" t="s">
        <v>205</v>
      </c>
      <c r="B269" s="89">
        <f>(' Pivot Table for Data Exchange'!$K$367)*100</f>
        <v>78.881825405834931</v>
      </c>
      <c r="C269" s="89">
        <f>(' Pivot Table for Data Exchange'!$K$370)*100</f>
        <v>21.118174594165058</v>
      </c>
      <c r="D269" s="83">
        <f>SUM(E269:G269)</f>
        <v>0</v>
      </c>
      <c r="E269" s="89">
        <f>(' Pivot Table for Data Exchange'!$K$373)*100</f>
        <v>0</v>
      </c>
      <c r="F269" s="89">
        <f>(' Pivot Table for Data Exchange'!$K$376)*100</f>
        <v>0</v>
      </c>
      <c r="G269" s="91">
        <f>(' Pivot Table for Data Exchange'!$K$379)*100</f>
        <v>0</v>
      </c>
      <c r="H269" s="89">
        <f>(' Pivot Table for Data Exchange'!$K$382)*100</f>
        <v>0</v>
      </c>
      <c r="I269" s="24"/>
      <c r="J269" s="82"/>
      <c r="K269" s="82"/>
      <c r="L269" s="82"/>
      <c r="M269" s="82"/>
      <c r="N269" s="82"/>
      <c r="O269" s="82"/>
      <c r="P269" s="82"/>
      <c r="Q269" s="23">
        <f t="shared" si="44"/>
        <v>99.999999999999986</v>
      </c>
      <c r="R269" s="23"/>
      <c r="S269" s="31"/>
      <c r="T269" s="40"/>
      <c r="U269" s="31"/>
      <c r="V269" s="31"/>
      <c r="W269" s="31"/>
      <c r="X269" s="31"/>
      <c r="Y269" s="31"/>
      <c r="Z269" s="31"/>
      <c r="AA269" s="31"/>
      <c r="AB269" s="31"/>
      <c r="AC269" s="31"/>
      <c r="AD269" s="31"/>
      <c r="AE269" s="31"/>
      <c r="AF269" s="31"/>
      <c r="AG269" s="31"/>
      <c r="AH269" s="31"/>
      <c r="AI269" s="31"/>
      <c r="AJ269" s="31"/>
      <c r="AK269" s="31"/>
      <c r="AL269" s="31"/>
      <c r="AM269" s="31"/>
      <c r="AN269" s="31"/>
      <c r="AO269" s="31"/>
    </row>
    <row r="270" spans="1:41" ht="15.75" customHeight="1">
      <c r="A270" s="24" t="s">
        <v>228</v>
      </c>
      <c r="B270" s="89">
        <f>(' Pivot Table for Data Exchange'!$K$403)*100</f>
        <v>84.920479088945612</v>
      </c>
      <c r="C270" s="89">
        <f>(' Pivot Table for Data Exchange'!$K$406)*100</f>
        <v>11.794900563799052</v>
      </c>
      <c r="D270" s="83">
        <f>SUM(E270:G270)</f>
        <v>3.2846203472553364</v>
      </c>
      <c r="E270" s="89">
        <f>(' Pivot Table for Data Exchange'!$K$409)*100</f>
        <v>3.2846203472553364</v>
      </c>
      <c r="F270" s="89">
        <f>(' Pivot Table for Data Exchange'!$K$412)*100</f>
        <v>0</v>
      </c>
      <c r="G270" s="91">
        <f>(' Pivot Table for Data Exchange'!$K$415)*100</f>
        <v>0</v>
      </c>
      <c r="H270" s="89">
        <f>(' Pivot Table for Data Exchange'!$K$418)*100</f>
        <v>0</v>
      </c>
      <c r="I270" s="24"/>
      <c r="J270" s="82"/>
      <c r="K270" s="82"/>
      <c r="L270" s="82"/>
      <c r="M270" s="82"/>
      <c r="N270" s="82"/>
      <c r="O270" s="82"/>
      <c r="P270" s="82"/>
      <c r="Q270" s="23">
        <f t="shared" si="44"/>
        <v>100</v>
      </c>
      <c r="R270" s="23"/>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row>
    <row r="271" spans="1:41" ht="15.75" customHeight="1">
      <c r="A271" s="24"/>
      <c r="B271" s="89"/>
      <c r="C271" s="89"/>
      <c r="D271" s="83"/>
      <c r="E271" s="89"/>
      <c r="F271" s="89"/>
      <c r="G271" s="91"/>
      <c r="H271" s="89"/>
      <c r="I271" s="24"/>
      <c r="J271" s="82"/>
      <c r="K271" s="82"/>
      <c r="L271" s="82"/>
      <c r="M271" s="82"/>
      <c r="N271" s="82"/>
      <c r="O271" s="82"/>
      <c r="P271" s="82"/>
      <c r="Q271" s="23">
        <f t="shared" si="44"/>
        <v>0</v>
      </c>
      <c r="R271" s="23"/>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row>
    <row r="272" spans="1:41" ht="15.75" customHeight="1">
      <c r="A272" s="24" t="s">
        <v>229</v>
      </c>
      <c r="B272" s="89">
        <f>(' Pivot Table for Data Exchange'!$K$439)*100</f>
        <v>0</v>
      </c>
      <c r="C272" s="89">
        <f>(' Pivot Table for Data Exchange'!$K$442)*100</f>
        <v>0</v>
      </c>
      <c r="D272" s="83">
        <f>SUM(E272:G272)</f>
        <v>0</v>
      </c>
      <c r="E272" s="89">
        <f>(' Pivot Table for Data Exchange'!$K$445)*100</f>
        <v>0</v>
      </c>
      <c r="F272" s="89">
        <f>(' Pivot Table for Data Exchange'!$K$448)*100</f>
        <v>0</v>
      </c>
      <c r="G272" s="91">
        <f>(' Pivot Table for Data Exchange'!$K$451)*100</f>
        <v>0</v>
      </c>
      <c r="H272" s="89">
        <f>(' Pivot Table for Data Exchange'!$K$454)*100</f>
        <v>0</v>
      </c>
      <c r="I272" s="24"/>
      <c r="J272" s="82"/>
      <c r="K272" s="82"/>
      <c r="L272" s="82"/>
      <c r="M272" s="82"/>
      <c r="N272" s="82"/>
      <c r="O272" s="82"/>
      <c r="P272" s="82"/>
      <c r="Q272" s="23">
        <f t="shared" si="44"/>
        <v>0</v>
      </c>
      <c r="R272" s="23"/>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row>
    <row r="273" spans="1:41" ht="15.75" customHeight="1">
      <c r="A273" s="24" t="s">
        <v>213</v>
      </c>
      <c r="B273" s="89">
        <f>(' Pivot Table for Data Exchange'!$K$475)*100</f>
        <v>0</v>
      </c>
      <c r="C273" s="89">
        <f>(' Pivot Table for Data Exchange'!$K$478)*100</f>
        <v>0</v>
      </c>
      <c r="D273" s="83">
        <f>SUM(E273:G273)</f>
        <v>0</v>
      </c>
      <c r="E273" s="89">
        <f>(' Pivot Table for Data Exchange'!$K$481)*100</f>
        <v>0</v>
      </c>
      <c r="F273" s="89">
        <f>(' Pivot Table for Data Exchange'!$K$484)*100</f>
        <v>0</v>
      </c>
      <c r="G273" s="91">
        <f>(' Pivot Table for Data Exchange'!$K$487)*100</f>
        <v>0</v>
      </c>
      <c r="H273" s="89">
        <f>(' Pivot Table for Data Exchange'!$K$490)*100</f>
        <v>0</v>
      </c>
      <c r="I273" s="24"/>
      <c r="J273" s="82"/>
      <c r="K273" s="82"/>
      <c r="L273" s="82"/>
      <c r="M273" s="82"/>
      <c r="N273" s="82"/>
      <c r="O273" s="82"/>
      <c r="P273" s="82"/>
      <c r="Q273" s="23">
        <f t="shared" si="44"/>
        <v>0</v>
      </c>
      <c r="R273" s="23"/>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row>
    <row r="274" spans="1:41" ht="15.75" customHeight="1">
      <c r="A274" s="24" t="s">
        <v>230</v>
      </c>
      <c r="B274" s="89">
        <f>(' Pivot Table for Data Exchange'!$K$511)*100</f>
        <v>0</v>
      </c>
      <c r="C274" s="89">
        <f>(' Pivot Table for Data Exchange'!$K$514)*100</f>
        <v>0</v>
      </c>
      <c r="D274" s="83">
        <f>SUM(E274:G274)</f>
        <v>0</v>
      </c>
      <c r="E274" s="89">
        <f>(' Pivot Table for Data Exchange'!$K$517)*100</f>
        <v>0</v>
      </c>
      <c r="F274" s="89">
        <f>(' Pivot Table for Data Exchange'!$K$520)*100</f>
        <v>0</v>
      </c>
      <c r="G274" s="91">
        <f>(' Pivot Table for Data Exchange'!$K$523)*100</f>
        <v>0</v>
      </c>
      <c r="H274" s="89">
        <f>(' Pivot Table for Data Exchange'!$K$526)*100</f>
        <v>0</v>
      </c>
      <c r="I274" s="24"/>
      <c r="J274" s="82"/>
      <c r="K274" s="82"/>
      <c r="L274" s="82"/>
      <c r="M274" s="82"/>
      <c r="N274" s="82"/>
      <c r="O274" s="82"/>
      <c r="P274" s="82"/>
      <c r="Q274" s="23">
        <f t="shared" si="44"/>
        <v>0</v>
      </c>
      <c r="R274" s="23"/>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row>
    <row r="275" spans="1:41" ht="15.75" customHeight="1">
      <c r="A275" s="18" t="s">
        <v>206</v>
      </c>
      <c r="B275" s="92">
        <f>(' Pivot Table for Data Exchange'!$K$547)*100</f>
        <v>63.665957775428005</v>
      </c>
      <c r="C275" s="92">
        <f>(' Pivot Table for Data Exchange'!$K$550)*100</f>
        <v>15.623329254238497</v>
      </c>
      <c r="D275" s="84">
        <f>SUM(E275:G275)</f>
        <v>20.7107129703335</v>
      </c>
      <c r="E275" s="92">
        <f>(' Pivot Table for Data Exchange'!$K$553)*100</f>
        <v>19.387185305753903</v>
      </c>
      <c r="F275" s="92">
        <f>(' Pivot Table for Data Exchange'!$K$556)*100</f>
        <v>0</v>
      </c>
      <c r="G275" s="93">
        <f>(' Pivot Table for Data Exchange'!$K$559)*100</f>
        <v>1.3235276645795957</v>
      </c>
      <c r="H275" s="92">
        <f>(' Pivot Table for Data Exchange'!$K$562)*100</f>
        <v>0</v>
      </c>
      <c r="I275" s="24"/>
      <c r="J275" s="82"/>
      <c r="K275" s="82"/>
      <c r="L275" s="82"/>
      <c r="M275" s="82"/>
      <c r="N275" s="82"/>
      <c r="O275" s="82"/>
      <c r="P275" s="82"/>
      <c r="Q275" s="23">
        <f t="shared" si="44"/>
        <v>100</v>
      </c>
      <c r="R275" s="23"/>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row>
    <row r="276" spans="1:41" s="45" customFormat="1" ht="18" customHeight="1">
      <c r="A276" s="85" t="s">
        <v>35</v>
      </c>
      <c r="B276" s="49"/>
      <c r="C276" s="49"/>
      <c r="D276" s="50"/>
      <c r="E276" s="49"/>
      <c r="F276" s="50"/>
      <c r="G276" s="50"/>
      <c r="H276" s="49"/>
      <c r="I276" s="85"/>
      <c r="J276" s="49"/>
      <c r="K276" s="49"/>
      <c r="L276" s="50"/>
      <c r="M276" s="49"/>
      <c r="N276" s="50"/>
      <c r="O276" s="50"/>
      <c r="P276" s="49"/>
      <c r="Q276" s="23">
        <f t="shared" si="44"/>
        <v>0</v>
      </c>
      <c r="R276" s="49"/>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row>
    <row r="277" spans="1:41" s="45" customFormat="1" ht="27" customHeight="1">
      <c r="A277" s="599" t="s">
        <v>898</v>
      </c>
      <c r="B277" s="600"/>
      <c r="C277" s="600"/>
      <c r="D277" s="600"/>
      <c r="E277" s="600"/>
      <c r="F277" s="600"/>
      <c r="G277" s="600"/>
      <c r="H277" s="600"/>
      <c r="I277" s="85"/>
      <c r="P277" s="46"/>
      <c r="Q277" s="23">
        <f t="shared" si="44"/>
        <v>0</v>
      </c>
      <c r="R277" s="48"/>
    </row>
    <row r="278" spans="1:41" s="45" customFormat="1" ht="13.5" customHeight="1">
      <c r="H278" s="43"/>
      <c r="I278" s="86"/>
      <c r="Q278" s="23">
        <f t="shared" si="44"/>
        <v>0</v>
      </c>
      <c r="R278" s="48"/>
    </row>
    <row r="279" spans="1:41" s="45" customFormat="1">
      <c r="A279" s="43"/>
      <c r="B279" s="49"/>
      <c r="C279" s="49"/>
      <c r="D279" s="50"/>
      <c r="E279" s="49"/>
      <c r="F279" s="50"/>
      <c r="G279" s="50"/>
      <c r="H279" s="572" t="s">
        <v>889</v>
      </c>
      <c r="I279" s="52"/>
      <c r="J279" s="43"/>
      <c r="K279" s="43"/>
      <c r="L279" s="43"/>
      <c r="M279" s="43"/>
      <c r="N279" s="43"/>
      <c r="O279" s="43"/>
      <c r="P279" s="43"/>
      <c r="Q279" s="23">
        <f t="shared" si="44"/>
        <v>0</v>
      </c>
      <c r="R279" s="48"/>
    </row>
    <row r="280" spans="1:41" ht="18">
      <c r="A280" s="15" t="s">
        <v>8</v>
      </c>
      <c r="B280" s="16"/>
      <c r="C280" s="16"/>
      <c r="D280" s="16"/>
      <c r="E280" s="16"/>
      <c r="F280" s="16"/>
      <c r="G280" s="16"/>
      <c r="H280" s="30"/>
      <c r="I280" s="29"/>
      <c r="J280" s="24"/>
      <c r="K280" s="24"/>
      <c r="L280" s="24"/>
      <c r="M280" s="24"/>
      <c r="N280" s="24"/>
      <c r="O280" s="24"/>
      <c r="P280" s="24"/>
      <c r="Q280" s="23">
        <f t="shared" si="44"/>
        <v>0</v>
      </c>
    </row>
    <row r="281" spans="1:41">
      <c r="A281" s="58"/>
      <c r="B281" s="17"/>
      <c r="C281" s="17"/>
      <c r="D281" s="17"/>
      <c r="E281" s="17"/>
      <c r="F281" s="17"/>
      <c r="G281" s="17"/>
      <c r="H281" s="27"/>
      <c r="I281" s="29"/>
      <c r="J281" s="24"/>
      <c r="K281" s="24"/>
      <c r="L281" s="24"/>
      <c r="M281" s="24"/>
      <c r="N281" s="24"/>
      <c r="O281" s="24"/>
      <c r="P281" s="24"/>
      <c r="Q281" s="23">
        <f t="shared" si="44"/>
        <v>0</v>
      </c>
    </row>
    <row r="282" spans="1:41" ht="15.75">
      <c r="A282" s="26" t="s">
        <v>23</v>
      </c>
      <c r="B282" s="17"/>
      <c r="C282" s="17"/>
      <c r="D282" s="17"/>
      <c r="E282" s="17"/>
      <c r="F282" s="17"/>
      <c r="G282" s="17"/>
      <c r="H282" s="27"/>
      <c r="I282" s="29"/>
      <c r="J282" s="24"/>
      <c r="K282" s="24"/>
      <c r="L282" s="24"/>
      <c r="M282" s="24"/>
      <c r="N282" s="24"/>
      <c r="O282" s="24"/>
      <c r="P282" s="24"/>
      <c r="Q282" s="23">
        <f t="shared" si="44"/>
        <v>0</v>
      </c>
    </row>
    <row r="283" spans="1:41" ht="15.75">
      <c r="A283" s="26" t="s">
        <v>761</v>
      </c>
      <c r="B283" s="17"/>
      <c r="C283" s="17"/>
      <c r="D283" s="17"/>
      <c r="E283" s="17"/>
      <c r="F283" s="17"/>
      <c r="G283" s="17"/>
      <c r="H283" s="27"/>
      <c r="I283" s="29"/>
      <c r="J283" s="24"/>
      <c r="K283" s="24"/>
      <c r="L283" s="24"/>
      <c r="M283" s="24"/>
      <c r="N283" s="24"/>
      <c r="O283" s="24"/>
      <c r="P283" s="24"/>
      <c r="Q283" s="23">
        <f t="shared" si="44"/>
        <v>0</v>
      </c>
    </row>
    <row r="284" spans="1:41">
      <c r="A284" s="18"/>
      <c r="B284" s="19"/>
      <c r="C284" s="19"/>
      <c r="D284" s="19"/>
      <c r="E284" s="19"/>
      <c r="F284" s="19"/>
      <c r="G284" s="19"/>
      <c r="H284" s="19"/>
      <c r="I284" s="29"/>
      <c r="J284" s="24"/>
      <c r="K284" s="24"/>
      <c r="L284" s="24"/>
      <c r="M284" s="24"/>
      <c r="N284" s="24"/>
      <c r="O284" s="24"/>
      <c r="P284" s="24"/>
      <c r="Q284" s="23">
        <f t="shared" si="44"/>
        <v>0</v>
      </c>
    </row>
    <row r="285" spans="1:41">
      <c r="A285" s="63"/>
      <c r="B285" s="64" t="s">
        <v>215</v>
      </c>
      <c r="C285" s="64"/>
      <c r="D285" s="64"/>
      <c r="E285" s="64"/>
      <c r="F285" s="64"/>
      <c r="G285" s="64"/>
      <c r="H285" s="65"/>
      <c r="I285" s="29"/>
      <c r="J285" s="24"/>
      <c r="K285" s="24"/>
      <c r="L285" s="24"/>
      <c r="M285" s="24"/>
      <c r="N285" s="24"/>
      <c r="O285" s="24"/>
      <c r="P285" s="24"/>
      <c r="Q285" s="23">
        <f t="shared" si="44"/>
        <v>0</v>
      </c>
    </row>
    <row r="286" spans="1:41">
      <c r="A286" s="63"/>
      <c r="B286" s="64" t="s">
        <v>209</v>
      </c>
      <c r="C286" s="64"/>
      <c r="D286" s="597" t="s">
        <v>30</v>
      </c>
      <c r="E286" s="598"/>
      <c r="F286" s="598"/>
      <c r="G286" s="598"/>
      <c r="H286" s="68" t="s">
        <v>196</v>
      </c>
      <c r="I286" s="29"/>
      <c r="J286" s="24"/>
      <c r="K286" s="24"/>
      <c r="L286" s="24"/>
      <c r="M286" s="24"/>
      <c r="N286" s="24"/>
      <c r="O286" s="24"/>
      <c r="P286" s="24"/>
      <c r="Q286" s="23">
        <f t="shared" si="44"/>
        <v>0</v>
      </c>
    </row>
    <row r="287" spans="1:41" ht="36">
      <c r="A287" s="63"/>
      <c r="B287" s="69" t="s">
        <v>22</v>
      </c>
      <c r="C287" s="70" t="s">
        <v>21</v>
      </c>
      <c r="D287" s="71" t="s">
        <v>28</v>
      </c>
      <c r="E287" s="72" t="s">
        <v>195</v>
      </c>
      <c r="F287" s="69" t="s">
        <v>210</v>
      </c>
      <c r="G287" s="73" t="s">
        <v>32</v>
      </c>
      <c r="H287" s="74" t="s">
        <v>31</v>
      </c>
      <c r="I287" s="29"/>
      <c r="J287" s="24"/>
      <c r="K287" s="24"/>
      <c r="L287" s="24"/>
      <c r="M287" s="24"/>
      <c r="N287" s="24"/>
      <c r="O287" s="24"/>
      <c r="P287" s="24"/>
      <c r="Q287" s="23">
        <f t="shared" si="44"/>
        <v>0</v>
      </c>
    </row>
    <row r="288" spans="1:41" ht="15.75" customHeight="1">
      <c r="A288" s="25" t="s">
        <v>220</v>
      </c>
      <c r="B288" s="89">
        <f>(' Pivot Table for Data Exchange'!$L$7)*100</f>
        <v>82.663710895763771</v>
      </c>
      <c r="C288" s="89">
        <f>(' Pivot Table for Data Exchange'!$L$10)*100</f>
        <v>4.9385709451628115</v>
      </c>
      <c r="D288" s="83">
        <f>SUM(E288:G288)</f>
        <v>12.397718159073408</v>
      </c>
      <c r="E288" s="89">
        <f>(' Pivot Table for Data Exchange'!$L$13)*100</f>
        <v>12.040148037227793</v>
      </c>
      <c r="F288" s="89">
        <f>(' Pivot Table for Data Exchange'!$L$16)*100</f>
        <v>0.35757012184561604</v>
      </c>
      <c r="G288" s="90">
        <f>(' Pivot Table for Data Exchange'!$L$19)*100</f>
        <v>0</v>
      </c>
      <c r="H288" s="89">
        <f>(' Pivot Table for Data Exchange'!$L$22)*100</f>
        <v>0</v>
      </c>
      <c r="I288" s="24"/>
      <c r="J288" s="82"/>
      <c r="K288" s="82"/>
      <c r="L288" s="82"/>
      <c r="M288" s="82"/>
      <c r="N288" s="82"/>
      <c r="O288" s="82"/>
      <c r="P288" s="82"/>
      <c r="Q288" s="23">
        <f t="shared" si="44"/>
        <v>99.999999999999986</v>
      </c>
      <c r="R288" s="23"/>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row>
    <row r="289" spans="1:41" ht="15.75" customHeight="1">
      <c r="A289" s="24" t="s">
        <v>221</v>
      </c>
      <c r="B289" s="89">
        <f>(' Pivot Table for Data Exchange'!$L$43)*100</f>
        <v>54.985675611743368</v>
      </c>
      <c r="C289" s="89">
        <f>(' Pivot Table for Data Exchange'!$L$46)*100</f>
        <v>17.39427550135359</v>
      </c>
      <c r="D289" s="83">
        <f>SUM(E289:G289)</f>
        <v>27.620048886903042</v>
      </c>
      <c r="E289" s="89">
        <f>(' Pivot Table for Data Exchange'!$L$49)*100</f>
        <v>27.620048886903042</v>
      </c>
      <c r="F289" s="89">
        <f>(' Pivot Table for Data Exchange'!$L$52)*100</f>
        <v>0</v>
      </c>
      <c r="G289" s="91">
        <f>(' Pivot Table for Data Exchange'!$L$55)*100</f>
        <v>0</v>
      </c>
      <c r="H289" s="89">
        <f>(' Pivot Table for Data Exchange'!$L$58)*100</f>
        <v>0</v>
      </c>
      <c r="I289" s="24"/>
      <c r="J289" s="82"/>
      <c r="K289" s="82"/>
      <c r="L289" s="82"/>
      <c r="M289" s="82"/>
      <c r="N289" s="82"/>
      <c r="O289" s="82"/>
      <c r="P289" s="82"/>
      <c r="Q289" s="23">
        <f t="shared" si="44"/>
        <v>100</v>
      </c>
      <c r="R289" s="23"/>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row>
    <row r="290" spans="1:41" ht="15.75" customHeight="1">
      <c r="A290" s="24" t="s">
        <v>222</v>
      </c>
      <c r="B290" s="89">
        <f>(' Pivot Table for Data Exchange'!$L$79)*100</f>
        <v>0</v>
      </c>
      <c r="C290" s="89">
        <f>(' Pivot Table for Data Exchange'!$L$82)*100</f>
        <v>0</v>
      </c>
      <c r="D290" s="83">
        <f>SUM(E290:G290)</f>
        <v>0</v>
      </c>
      <c r="E290" s="89">
        <f>(' Pivot Table for Data Exchange'!$L$85)*100</f>
        <v>0</v>
      </c>
      <c r="F290" s="89">
        <f>(' Pivot Table for Data Exchange'!$L$88)*100</f>
        <v>0</v>
      </c>
      <c r="G290" s="91">
        <f>(' Pivot Table for Data Exchange'!$L$91)*100</f>
        <v>0</v>
      </c>
      <c r="H290" s="89">
        <f>(' Pivot Table for Data Exchange'!$L$94)*100</f>
        <v>0</v>
      </c>
      <c r="I290" s="24"/>
      <c r="J290" s="82"/>
      <c r="K290" s="82"/>
      <c r="L290" s="82"/>
      <c r="M290" s="82"/>
      <c r="N290" s="82"/>
      <c r="O290" s="82"/>
      <c r="P290" s="82"/>
      <c r="Q290" s="23">
        <f t="shared" si="44"/>
        <v>0</v>
      </c>
      <c r="R290" s="23"/>
      <c r="S290" s="31"/>
      <c r="T290" s="40"/>
      <c r="U290" s="31"/>
      <c r="V290" s="31"/>
      <c r="W290" s="31"/>
      <c r="X290" s="31"/>
      <c r="Y290" s="31"/>
      <c r="Z290" s="31"/>
      <c r="AA290" s="31"/>
      <c r="AB290" s="31"/>
      <c r="AC290" s="31"/>
      <c r="AD290" s="31"/>
      <c r="AE290" s="31"/>
      <c r="AF290" s="31"/>
      <c r="AG290" s="31"/>
      <c r="AH290" s="31"/>
      <c r="AI290" s="31"/>
      <c r="AJ290" s="31"/>
      <c r="AK290" s="31"/>
      <c r="AL290" s="31"/>
      <c r="AM290" s="31"/>
      <c r="AN290" s="31"/>
      <c r="AO290" s="31"/>
    </row>
    <row r="291" spans="1:41" ht="15.75" customHeight="1">
      <c r="A291" s="586" t="s">
        <v>111</v>
      </c>
      <c r="B291" s="89">
        <f>(' Pivot Table for Data Exchange'!$L$115)*100</f>
        <v>81.160218934099277</v>
      </c>
      <c r="C291" s="89">
        <f>(' Pivot Table for Data Exchange'!$L$118)*100</f>
        <v>2.541015747338724</v>
      </c>
      <c r="D291" s="83">
        <f>SUM(E291:G291)</f>
        <v>16.257399272319653</v>
      </c>
      <c r="E291" s="89">
        <f>(' Pivot Table for Data Exchange'!$L$121)*100</f>
        <v>12.467979783680018</v>
      </c>
      <c r="F291" s="89">
        <f>(' Pivot Table for Data Exchange'!$L$124)*100</f>
        <v>0.27404779344276659</v>
      </c>
      <c r="G291" s="91">
        <f>(' Pivot Table for Data Exchange'!$L$127)*100</f>
        <v>3.5153716951968681</v>
      </c>
      <c r="H291" s="156">
        <f>(' Pivot Table for Data Exchange'!$L$130)*100</f>
        <v>4.1366046242351809E-2</v>
      </c>
      <c r="I291" s="24"/>
      <c r="J291" s="82"/>
      <c r="K291" s="82"/>
      <c r="L291" s="82"/>
      <c r="M291" s="82"/>
      <c r="N291" s="82"/>
      <c r="O291" s="82"/>
      <c r="P291" s="82"/>
      <c r="Q291" s="23">
        <f t="shared" si="44"/>
        <v>99.999999999999986</v>
      </c>
      <c r="R291" s="23"/>
      <c r="S291" s="31"/>
      <c r="U291" s="31"/>
      <c r="V291" s="31"/>
      <c r="W291" s="31"/>
      <c r="X291" s="31"/>
      <c r="Y291" s="31"/>
      <c r="Z291" s="31"/>
      <c r="AA291" s="31"/>
      <c r="AB291" s="31"/>
      <c r="AC291" s="31"/>
      <c r="AD291" s="31"/>
      <c r="AE291" s="31"/>
      <c r="AF291" s="31"/>
      <c r="AG291" s="31"/>
      <c r="AH291" s="31"/>
      <c r="AI291" s="31"/>
      <c r="AJ291" s="31"/>
      <c r="AK291" s="31"/>
      <c r="AL291" s="31"/>
      <c r="AM291" s="31"/>
      <c r="AN291" s="31"/>
      <c r="AO291" s="31"/>
    </row>
    <row r="292" spans="1:41" ht="15.75" customHeight="1">
      <c r="A292" s="24"/>
      <c r="B292" s="89"/>
      <c r="C292" s="89"/>
      <c r="D292" s="83"/>
      <c r="E292" s="89"/>
      <c r="F292" s="89"/>
      <c r="G292" s="91"/>
      <c r="H292" s="89"/>
      <c r="I292" s="24"/>
      <c r="J292" s="82"/>
      <c r="K292" s="82"/>
      <c r="L292" s="82"/>
      <c r="M292" s="82"/>
      <c r="N292" s="82"/>
      <c r="O292" s="82"/>
      <c r="P292" s="82"/>
      <c r="Q292" s="23">
        <f t="shared" si="44"/>
        <v>0</v>
      </c>
      <c r="R292" s="23"/>
      <c r="S292" s="31"/>
      <c r="U292" s="31"/>
      <c r="V292" s="31"/>
      <c r="W292" s="31"/>
      <c r="X292" s="31"/>
      <c r="Y292" s="31"/>
      <c r="Z292" s="31"/>
      <c r="AA292" s="31"/>
      <c r="AB292" s="31"/>
      <c r="AC292" s="31"/>
      <c r="AD292" s="31"/>
      <c r="AE292" s="31"/>
      <c r="AF292" s="31"/>
      <c r="AG292" s="31"/>
      <c r="AH292" s="31"/>
      <c r="AI292" s="31"/>
      <c r="AJ292" s="31"/>
      <c r="AK292" s="31"/>
      <c r="AL292" s="31"/>
      <c r="AM292" s="31"/>
      <c r="AN292" s="31"/>
      <c r="AO292" s="31"/>
    </row>
    <row r="293" spans="1:41" ht="15.75" customHeight="1">
      <c r="A293" s="24" t="s">
        <v>224</v>
      </c>
      <c r="B293" s="89">
        <f>(' Pivot Table for Data Exchange'!$L$151)*100</f>
        <v>73.501948888661062</v>
      </c>
      <c r="C293" s="89">
        <f>(' Pivot Table for Data Exchange'!$L$154)*100</f>
        <v>8.9628776411512021</v>
      </c>
      <c r="D293" s="83">
        <f>SUM(E293:G293)</f>
        <v>17.535173470187733</v>
      </c>
      <c r="E293" s="89">
        <f>(' Pivot Table for Data Exchange'!$L$157)*100</f>
        <v>17.397675807044948</v>
      </c>
      <c r="F293" s="89">
        <f>(' Pivot Table for Data Exchange'!$L$160)*100</f>
        <v>0.1374976631427865</v>
      </c>
      <c r="G293" s="91">
        <f>(' Pivot Table for Data Exchange'!$L$163)*100</f>
        <v>0</v>
      </c>
      <c r="H293" s="89">
        <f>(' Pivot Table for Data Exchange'!$L$166)*100</f>
        <v>0</v>
      </c>
      <c r="I293" s="24"/>
      <c r="J293" s="82"/>
      <c r="K293" s="82"/>
      <c r="L293" s="82"/>
      <c r="M293" s="82"/>
      <c r="N293" s="82"/>
      <c r="O293" s="82"/>
      <c r="P293" s="82"/>
      <c r="Q293" s="23">
        <f t="shared" si="44"/>
        <v>99.999999999999986</v>
      </c>
      <c r="R293" s="23"/>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row>
    <row r="294" spans="1:41" ht="15.75" customHeight="1">
      <c r="A294" s="24" t="s">
        <v>225</v>
      </c>
      <c r="B294" s="89">
        <f>(' Pivot Table for Data Exchange'!$L$187)*100</f>
        <v>74.071897902451354</v>
      </c>
      <c r="C294" s="89">
        <f>(' Pivot Table for Data Exchange'!$L$190)*100</f>
        <v>7.982899502990481</v>
      </c>
      <c r="D294" s="83">
        <f>SUM(E294:G294)</f>
        <v>17.945202594558165</v>
      </c>
      <c r="E294" s="89">
        <f>(' Pivot Table for Data Exchange'!$L$193)*100</f>
        <v>17.527377642995535</v>
      </c>
      <c r="F294" s="89">
        <f>(' Pivot Table for Data Exchange'!$L$196)*100</f>
        <v>0.35464577541908854</v>
      </c>
      <c r="G294" s="91">
        <f>(' Pivot Table for Data Exchange'!$L$199)*100</f>
        <v>6.3179176143543098E-2</v>
      </c>
      <c r="H294" s="89">
        <f>(' Pivot Table for Data Exchange'!$L$202)*100</f>
        <v>0</v>
      </c>
      <c r="I294" s="24"/>
      <c r="J294" s="82"/>
      <c r="K294" s="82"/>
      <c r="L294" s="82"/>
      <c r="M294" s="82"/>
      <c r="N294" s="82"/>
      <c r="O294" s="82"/>
      <c r="P294" s="82"/>
      <c r="Q294" s="23">
        <f t="shared" si="44"/>
        <v>100</v>
      </c>
      <c r="R294" s="23"/>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row>
    <row r="295" spans="1:41" ht="15.75" customHeight="1">
      <c r="A295" s="24" t="s">
        <v>226</v>
      </c>
      <c r="B295" s="89">
        <f>(' Pivot Table for Data Exchange'!$L$223)*100</f>
        <v>94.210205695177123</v>
      </c>
      <c r="C295" s="89">
        <f>(' Pivot Table for Data Exchange'!$L$226)*100</f>
        <v>0</v>
      </c>
      <c r="D295" s="83">
        <f>SUM(E295:G295)</f>
        <v>5.7897943048228839</v>
      </c>
      <c r="E295" s="89">
        <f>(' Pivot Table for Data Exchange'!$L$229)*100</f>
        <v>4.6479074047671505</v>
      </c>
      <c r="F295" s="89">
        <f>(' Pivot Table for Data Exchange'!$L$232)*100</f>
        <v>0.57515585913703937</v>
      </c>
      <c r="G295" s="91">
        <f>(' Pivot Table for Data Exchange'!$L$235)*100</f>
        <v>0.56673104091869408</v>
      </c>
      <c r="H295" s="89">
        <f>(' Pivot Table for Data Exchange'!$L$238)*100</f>
        <v>0</v>
      </c>
      <c r="I295" s="24"/>
      <c r="J295" s="82"/>
      <c r="K295" s="82"/>
      <c r="L295" s="82"/>
      <c r="M295" s="82"/>
      <c r="N295" s="82"/>
      <c r="O295" s="82"/>
      <c r="P295" s="82"/>
      <c r="Q295" s="23">
        <f t="shared" si="44"/>
        <v>100</v>
      </c>
      <c r="R295" s="23"/>
      <c r="S295" s="31"/>
      <c r="T295" s="40"/>
      <c r="U295" s="31"/>
      <c r="V295" s="31"/>
      <c r="W295" s="31"/>
      <c r="X295" s="31"/>
      <c r="Y295" s="31"/>
      <c r="Z295" s="31"/>
      <c r="AA295" s="31"/>
      <c r="AB295" s="31"/>
      <c r="AC295" s="31"/>
      <c r="AD295" s="31"/>
      <c r="AE295" s="31"/>
      <c r="AF295" s="31"/>
      <c r="AG295" s="31"/>
      <c r="AH295" s="31"/>
      <c r="AI295" s="31"/>
      <c r="AJ295" s="31"/>
      <c r="AK295" s="31"/>
      <c r="AL295" s="31"/>
      <c r="AM295" s="31"/>
      <c r="AN295" s="31"/>
      <c r="AO295" s="31"/>
    </row>
    <row r="296" spans="1:41" ht="15.75" customHeight="1">
      <c r="A296" s="24" t="s">
        <v>227</v>
      </c>
      <c r="B296" s="89">
        <f>(' Pivot Table for Data Exchange'!$L$259)*100</f>
        <v>81.05932815036951</v>
      </c>
      <c r="C296" s="89">
        <f>(' Pivot Table for Data Exchange'!$L$262)*100</f>
        <v>9.0696276447974427</v>
      </c>
      <c r="D296" s="83">
        <f>SUM(E296:G296)</f>
        <v>9.8710442048330567</v>
      </c>
      <c r="E296" s="89">
        <f>(' Pivot Table for Data Exchange'!$L$265)*100</f>
        <v>9.6995456282117178</v>
      </c>
      <c r="F296" s="156">
        <f>(' Pivot Table for Data Exchange'!$L$268)*100</f>
        <v>4.7969181292615938E-2</v>
      </c>
      <c r="G296" s="91">
        <f>(' Pivot Table for Data Exchange'!$L$271)*100</f>
        <v>0.12352939532872191</v>
      </c>
      <c r="H296" s="89">
        <f>(' Pivot Table for Data Exchange'!$L$274)*100</f>
        <v>0</v>
      </c>
      <c r="I296" s="24"/>
      <c r="J296" s="82"/>
      <c r="K296" s="82"/>
      <c r="L296" s="82"/>
      <c r="M296" s="82"/>
      <c r="N296" s="82"/>
      <c r="O296" s="82"/>
      <c r="P296" s="82"/>
      <c r="Q296" s="23">
        <f t="shared" si="44"/>
        <v>100</v>
      </c>
      <c r="R296" s="23"/>
      <c r="S296" s="31"/>
      <c r="U296" s="31"/>
      <c r="V296" s="31"/>
      <c r="W296" s="31"/>
      <c r="X296" s="31"/>
      <c r="Y296" s="31"/>
      <c r="Z296" s="31"/>
      <c r="AA296" s="31"/>
      <c r="AB296" s="31"/>
      <c r="AC296" s="31"/>
      <c r="AD296" s="31"/>
      <c r="AE296" s="31"/>
      <c r="AF296" s="31"/>
      <c r="AG296" s="31"/>
      <c r="AH296" s="31"/>
      <c r="AI296" s="31"/>
      <c r="AJ296" s="31"/>
      <c r="AK296" s="31"/>
      <c r="AL296" s="31"/>
      <c r="AM296" s="31"/>
      <c r="AN296" s="31"/>
      <c r="AO296" s="31"/>
    </row>
    <row r="297" spans="1:41" ht="9.75" customHeight="1">
      <c r="A297" s="24"/>
      <c r="B297" s="89"/>
      <c r="C297" s="89"/>
      <c r="D297" s="83"/>
      <c r="E297" s="89"/>
      <c r="F297" s="89"/>
      <c r="G297" s="91"/>
      <c r="H297" s="89"/>
      <c r="I297" s="155"/>
      <c r="J297" s="82"/>
      <c r="K297" s="82"/>
      <c r="L297" s="82"/>
      <c r="M297" s="82"/>
      <c r="N297" s="82"/>
      <c r="O297" s="82"/>
      <c r="P297" s="82"/>
      <c r="Q297" s="23">
        <f t="shared" si="44"/>
        <v>0</v>
      </c>
      <c r="R297" s="23"/>
      <c r="S297" s="31"/>
      <c r="U297" s="31"/>
      <c r="V297" s="31"/>
      <c r="W297" s="31"/>
      <c r="X297" s="31"/>
      <c r="Y297" s="31"/>
      <c r="Z297" s="31"/>
      <c r="AA297" s="31"/>
      <c r="AB297" s="31"/>
      <c r="AC297" s="31"/>
      <c r="AD297" s="31"/>
      <c r="AE297" s="31"/>
      <c r="AF297" s="31"/>
      <c r="AG297" s="31"/>
      <c r="AH297" s="31"/>
      <c r="AI297" s="31"/>
      <c r="AJ297" s="31"/>
      <c r="AK297" s="31"/>
      <c r="AL297" s="31"/>
      <c r="AM297" s="31"/>
      <c r="AN297" s="31"/>
      <c r="AO297" s="31"/>
    </row>
    <row r="298" spans="1:41" ht="15.75" customHeight="1">
      <c r="A298" s="586" t="s">
        <v>899</v>
      </c>
      <c r="B298" s="153">
        <f>(' Pivot Table for Data Exchange'!$L$295)*100</f>
        <v>86.937046685533289</v>
      </c>
      <c r="C298" s="89">
        <f>(' Pivot Table for Data Exchange'!$L$298)*100</f>
        <v>0</v>
      </c>
      <c r="D298" s="83">
        <f>SUM(E298:G298)</f>
        <v>13.062953314466705</v>
      </c>
      <c r="E298" s="89">
        <f>(' Pivot Table for Data Exchange'!$L$301)*100</f>
        <v>13.062953314466705</v>
      </c>
      <c r="F298" s="89">
        <f>(' Pivot Table for Data Exchange'!$L$304)*100</f>
        <v>0</v>
      </c>
      <c r="G298" s="91">
        <f>(' Pivot Table for Data Exchange'!$L$307)*100</f>
        <v>0</v>
      </c>
      <c r="H298" s="89">
        <f>(' Pivot Table for Data Exchange'!$L$310)*100</f>
        <v>0</v>
      </c>
      <c r="I298" s="154"/>
      <c r="J298" s="82"/>
      <c r="K298" s="82"/>
      <c r="L298" s="82"/>
      <c r="M298" s="82"/>
      <c r="N298" s="82"/>
      <c r="O298" s="82"/>
      <c r="P298" s="82"/>
      <c r="Q298" s="23">
        <f t="shared" si="44"/>
        <v>100</v>
      </c>
      <c r="R298" s="23"/>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row>
    <row r="299" spans="1:41" ht="15.75" customHeight="1">
      <c r="A299" s="24" t="s">
        <v>212</v>
      </c>
      <c r="B299" s="89">
        <f>(' Pivot Table for Data Exchange'!$L$331)*100</f>
        <v>69.883620117243112</v>
      </c>
      <c r="C299" s="89">
        <f>(' Pivot Table for Data Exchange'!$L$334)*100</f>
        <v>13.199853920434066</v>
      </c>
      <c r="D299" s="83">
        <f>SUM(E299:G299)</f>
        <v>16.916525962322854</v>
      </c>
      <c r="E299" s="89">
        <f>(' Pivot Table for Data Exchange'!$L$337)*100</f>
        <v>12.734391303522985</v>
      </c>
      <c r="F299" s="89">
        <f>(' Pivot Table for Data Exchange'!$L$340)*100</f>
        <v>0.15388628559503706</v>
      </c>
      <c r="G299" s="91">
        <f>(' Pivot Table for Data Exchange'!$L$343)*100</f>
        <v>4.0282483732048329</v>
      </c>
      <c r="H299" s="89">
        <f>(' Pivot Table for Data Exchange'!$L$346)*100</f>
        <v>0</v>
      </c>
      <c r="I299" s="24"/>
      <c r="J299" s="82"/>
      <c r="K299" s="82"/>
      <c r="L299" s="82"/>
      <c r="M299" s="82"/>
      <c r="N299" s="82"/>
      <c r="O299" s="82"/>
      <c r="P299" s="82"/>
      <c r="Q299" s="23">
        <f t="shared" si="44"/>
        <v>100.00000000000003</v>
      </c>
      <c r="R299" s="23"/>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row>
    <row r="300" spans="1:41" ht="15.75" customHeight="1">
      <c r="A300" s="24" t="s">
        <v>205</v>
      </c>
      <c r="B300" s="89">
        <f>(' Pivot Table for Data Exchange'!$L$367)*100</f>
        <v>75.181229164472697</v>
      </c>
      <c r="C300" s="89">
        <f>(' Pivot Table for Data Exchange'!$L$370)*100</f>
        <v>4.5977567118236164</v>
      </c>
      <c r="D300" s="83">
        <f>SUM(E300:G300)</f>
        <v>18.518090114788539</v>
      </c>
      <c r="E300" s="89">
        <f>(' Pivot Table for Data Exchange'!$L$373)*100</f>
        <v>17.919373522846353</v>
      </c>
      <c r="F300" s="89">
        <f>(' Pivot Table for Data Exchange'!$L$376)*100</f>
        <v>0.10133986143888792</v>
      </c>
      <c r="G300" s="91">
        <f>(' Pivot Table for Data Exchange'!$L$379)*100</f>
        <v>0.49737673050329828</v>
      </c>
      <c r="H300" s="89">
        <f>(' Pivot Table for Data Exchange'!$L$382)*100</f>
        <v>1.7029240089151454</v>
      </c>
      <c r="I300" s="24"/>
      <c r="J300" s="82"/>
      <c r="K300" s="82"/>
      <c r="L300" s="82"/>
      <c r="M300" s="82"/>
      <c r="N300" s="82"/>
      <c r="O300" s="82"/>
      <c r="P300" s="82"/>
      <c r="Q300" s="23">
        <f t="shared" si="44"/>
        <v>100</v>
      </c>
      <c r="R300" s="23"/>
      <c r="S300" s="31"/>
      <c r="T300" s="40"/>
      <c r="U300" s="31"/>
      <c r="V300" s="31"/>
      <c r="W300" s="31"/>
      <c r="X300" s="31"/>
      <c r="Y300" s="31"/>
      <c r="Z300" s="31"/>
      <c r="AA300" s="31"/>
      <c r="AB300" s="31"/>
      <c r="AC300" s="31"/>
      <c r="AD300" s="31"/>
      <c r="AE300" s="31"/>
      <c r="AF300" s="31"/>
      <c r="AG300" s="31"/>
      <c r="AH300" s="31"/>
      <c r="AI300" s="31"/>
      <c r="AJ300" s="31"/>
      <c r="AK300" s="31"/>
      <c r="AL300" s="31"/>
      <c r="AM300" s="31"/>
      <c r="AN300" s="31"/>
      <c r="AO300" s="31"/>
    </row>
    <row r="301" spans="1:41" ht="15.75" customHeight="1">
      <c r="A301" s="24" t="s">
        <v>228</v>
      </c>
      <c r="B301" s="89">
        <f>(' Pivot Table for Data Exchange'!$L$403)*100</f>
        <v>78.817389811423993</v>
      </c>
      <c r="C301" s="89">
        <f>(' Pivot Table for Data Exchange'!$L$406)*100</f>
        <v>5.3255541118763681</v>
      </c>
      <c r="D301" s="83">
        <f>SUM(E301:G301)</f>
        <v>15.857056076699642</v>
      </c>
      <c r="E301" s="89">
        <f>(' Pivot Table for Data Exchange'!$L$409)*100</f>
        <v>15.129850022408517</v>
      </c>
      <c r="F301" s="89">
        <f>(' Pivot Table for Data Exchange'!$L$412)*100</f>
        <v>0.4709069280137087</v>
      </c>
      <c r="G301" s="91">
        <f>(' Pivot Table for Data Exchange'!$L$415)*100</f>
        <v>0.25629912627741763</v>
      </c>
      <c r="H301" s="89">
        <f>(' Pivot Table for Data Exchange'!$L$418)*100</f>
        <v>0</v>
      </c>
      <c r="I301" s="24"/>
      <c r="J301" s="82"/>
      <c r="K301" s="82"/>
      <c r="L301" s="82"/>
      <c r="M301" s="82"/>
      <c r="N301" s="82"/>
      <c r="O301" s="82"/>
      <c r="P301" s="82"/>
      <c r="Q301" s="23">
        <f t="shared" si="44"/>
        <v>100</v>
      </c>
      <c r="R301" s="23"/>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row>
    <row r="302" spans="1:41" ht="11.25" customHeight="1">
      <c r="A302" s="24"/>
      <c r="B302" s="89"/>
      <c r="C302" s="89"/>
      <c r="D302" s="83"/>
      <c r="E302" s="89"/>
      <c r="F302" s="89"/>
      <c r="G302" s="91"/>
      <c r="H302" s="89"/>
      <c r="I302" s="24"/>
      <c r="J302" s="82"/>
      <c r="K302" s="82"/>
      <c r="L302" s="82"/>
      <c r="M302" s="82"/>
      <c r="N302" s="82"/>
      <c r="O302" s="82"/>
      <c r="P302" s="82"/>
      <c r="Q302" s="23">
        <f t="shared" si="44"/>
        <v>0</v>
      </c>
      <c r="R302" s="23"/>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row>
    <row r="303" spans="1:41" ht="15.75" customHeight="1">
      <c r="A303" s="24" t="s">
        <v>229</v>
      </c>
      <c r="B303" s="89">
        <f>(' Pivot Table for Data Exchange'!$L$439)*100</f>
        <v>84.643856936838986</v>
      </c>
      <c r="C303" s="89">
        <f>(' Pivot Table for Data Exchange'!$L$442)*100</f>
        <v>0.89366866394630373</v>
      </c>
      <c r="D303" s="83">
        <f>SUM(E303:G303)</f>
        <v>14.354444711825614</v>
      </c>
      <c r="E303" s="89">
        <f>(' Pivot Table for Data Exchange'!$L$445)*100</f>
        <v>11.36735460571761</v>
      </c>
      <c r="F303" s="89">
        <f>(' Pivot Table for Data Exchange'!$L$448)*100</f>
        <v>0.94006602968392672</v>
      </c>
      <c r="G303" s="91">
        <f>(' Pivot Table for Data Exchange'!$L$451)*100</f>
        <v>2.047024076424079</v>
      </c>
      <c r="H303" s="89">
        <f>(' Pivot Table for Data Exchange'!$L$454)*100</f>
        <v>0.1080296873890921</v>
      </c>
      <c r="I303" s="24"/>
      <c r="J303" s="82"/>
      <c r="K303" s="82"/>
      <c r="L303" s="82"/>
      <c r="M303" s="82"/>
      <c r="N303" s="82"/>
      <c r="O303" s="82"/>
      <c r="P303" s="82"/>
      <c r="Q303" s="23">
        <f t="shared" si="44"/>
        <v>100</v>
      </c>
      <c r="R303" s="23"/>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row>
    <row r="304" spans="1:41" ht="15.75" customHeight="1">
      <c r="A304" s="24" t="s">
        <v>213</v>
      </c>
      <c r="B304" s="89">
        <f>(' Pivot Table for Data Exchange'!$L$475)*100</f>
        <v>76.824349535678991</v>
      </c>
      <c r="C304" s="89">
        <f>(' Pivot Table for Data Exchange'!$L$478)*100</f>
        <v>8.3340790091390247</v>
      </c>
      <c r="D304" s="83">
        <f>SUM(E304:G304)</f>
        <v>14.841571455181983</v>
      </c>
      <c r="E304" s="89">
        <f>(' Pivot Table for Data Exchange'!$L$481)*100</f>
        <v>14.06659088047194</v>
      </c>
      <c r="F304" s="89">
        <f>(' Pivot Table for Data Exchange'!$L$484)*100</f>
        <v>9.2487011604108244E-2</v>
      </c>
      <c r="G304" s="91">
        <f>(' Pivot Table for Data Exchange'!$L$487)*100</f>
        <v>0.68249356310593412</v>
      </c>
      <c r="H304" s="89">
        <f>(' Pivot Table for Data Exchange'!$L$490)*100</f>
        <v>0</v>
      </c>
      <c r="I304" s="24"/>
      <c r="J304" s="82"/>
      <c r="K304" s="82"/>
      <c r="L304" s="82"/>
      <c r="M304" s="82"/>
      <c r="N304" s="82"/>
      <c r="O304" s="82"/>
      <c r="P304" s="82"/>
      <c r="Q304" s="23">
        <f t="shared" si="44"/>
        <v>99.999999999999986</v>
      </c>
      <c r="R304" s="23"/>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row>
    <row r="305" spans="1:41" ht="15.75" customHeight="1">
      <c r="A305" s="24" t="s">
        <v>230</v>
      </c>
      <c r="B305" s="89">
        <f>(' Pivot Table for Data Exchange'!$L$511)*100</f>
        <v>0</v>
      </c>
      <c r="C305" s="89">
        <f>(' Pivot Table for Data Exchange'!$L$514)*100</f>
        <v>0</v>
      </c>
      <c r="D305" s="83">
        <f>SUM(E305:G305)</f>
        <v>0</v>
      </c>
      <c r="E305" s="89">
        <f>(' Pivot Table for Data Exchange'!$L$517)*100</f>
        <v>0</v>
      </c>
      <c r="F305" s="89">
        <f>(' Pivot Table for Data Exchange'!$L$520)*100</f>
        <v>0</v>
      </c>
      <c r="G305" s="91">
        <f>(' Pivot Table for Data Exchange'!$L$523)*100</f>
        <v>0</v>
      </c>
      <c r="H305" s="89">
        <f>(' Pivot Table for Data Exchange'!$L$526)*100</f>
        <v>0</v>
      </c>
      <c r="I305" s="24"/>
      <c r="J305" s="82"/>
      <c r="K305" s="82"/>
      <c r="L305" s="82"/>
      <c r="M305" s="82"/>
      <c r="N305" s="82"/>
      <c r="O305" s="82"/>
      <c r="P305" s="82"/>
      <c r="Q305" s="23">
        <f t="shared" si="44"/>
        <v>0</v>
      </c>
      <c r="R305" s="23"/>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row>
    <row r="306" spans="1:41" ht="15.75" customHeight="1">
      <c r="A306" s="18" t="s">
        <v>206</v>
      </c>
      <c r="B306" s="92">
        <f>(' Pivot Table for Data Exchange'!$L$547)*100</f>
        <v>0</v>
      </c>
      <c r="C306" s="92">
        <f>(' Pivot Table for Data Exchange'!$L$550)*100</f>
        <v>0</v>
      </c>
      <c r="D306" s="84">
        <f>SUM(E306:G306)</f>
        <v>0</v>
      </c>
      <c r="E306" s="92">
        <f>(' Pivot Table for Data Exchange'!$L$553)*100</f>
        <v>0</v>
      </c>
      <c r="F306" s="92">
        <f>(' Pivot Table for Data Exchange'!$L$556)*100</f>
        <v>0</v>
      </c>
      <c r="G306" s="93">
        <f>(' Pivot Table for Data Exchange'!$L$559)*100</f>
        <v>0</v>
      </c>
      <c r="H306" s="92">
        <f>(' Pivot Table for Data Exchange'!$L$562)*100</f>
        <v>0</v>
      </c>
      <c r="I306" s="24"/>
      <c r="J306" s="82"/>
      <c r="K306" s="82"/>
      <c r="L306" s="82"/>
      <c r="M306" s="82"/>
      <c r="N306" s="82"/>
      <c r="O306" s="82"/>
      <c r="P306" s="82"/>
      <c r="Q306" s="23">
        <f t="shared" si="44"/>
        <v>0</v>
      </c>
      <c r="R306" s="23"/>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row>
    <row r="307" spans="1:41" s="45" customFormat="1" ht="18" customHeight="1">
      <c r="A307" s="85" t="s">
        <v>35</v>
      </c>
      <c r="B307" s="49"/>
      <c r="C307" s="49"/>
      <c r="D307" s="50"/>
      <c r="E307" s="49"/>
      <c r="F307" s="50"/>
      <c r="G307" s="50"/>
      <c r="H307" s="49"/>
      <c r="I307" s="85"/>
      <c r="J307" s="49"/>
      <c r="K307" s="49"/>
      <c r="L307" s="50"/>
      <c r="M307" s="49"/>
      <c r="N307" s="50"/>
      <c r="O307" s="50"/>
      <c r="P307" s="49"/>
      <c r="Q307" s="23">
        <f t="shared" si="44"/>
        <v>0</v>
      </c>
      <c r="R307" s="49"/>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row>
    <row r="308" spans="1:41" s="45" customFormat="1" ht="30" customHeight="1">
      <c r="A308" s="599" t="s">
        <v>898</v>
      </c>
      <c r="B308" s="600"/>
      <c r="C308" s="600"/>
      <c r="D308" s="600"/>
      <c r="E308" s="600"/>
      <c r="F308" s="600"/>
      <c r="G308" s="600"/>
      <c r="H308" s="600"/>
      <c r="I308" s="85"/>
      <c r="P308" s="46"/>
      <c r="Q308" s="23">
        <f t="shared" si="44"/>
        <v>0</v>
      </c>
      <c r="R308" s="48"/>
    </row>
    <row r="309" spans="1:41" s="45" customFormat="1" ht="13.5" customHeight="1">
      <c r="A309" s="86"/>
      <c r="H309" s="43"/>
      <c r="I309" s="86"/>
      <c r="Q309" s="23">
        <f t="shared" si="44"/>
        <v>0</v>
      </c>
      <c r="R309" s="48"/>
    </row>
    <row r="310" spans="1:41" s="45" customFormat="1">
      <c r="A310" s="43"/>
      <c r="H310" s="572" t="s">
        <v>889</v>
      </c>
      <c r="I310" s="52"/>
      <c r="J310" s="43"/>
      <c r="K310" s="43"/>
      <c r="L310" s="43"/>
      <c r="M310" s="43"/>
      <c r="N310" s="43"/>
      <c r="O310" s="43"/>
      <c r="P310" s="43"/>
      <c r="Q310" s="23">
        <f t="shared" si="44"/>
        <v>0</v>
      </c>
      <c r="R310" s="48"/>
    </row>
    <row r="311" spans="1:41" ht="18">
      <c r="A311" s="15" t="s">
        <v>9</v>
      </c>
      <c r="B311" s="16"/>
      <c r="C311" s="16"/>
      <c r="D311" s="16"/>
      <c r="E311" s="16"/>
      <c r="F311" s="16"/>
      <c r="G311" s="16"/>
      <c r="H311" s="30"/>
      <c r="I311" s="29"/>
      <c r="J311" s="24"/>
      <c r="K311" s="24"/>
      <c r="L311" s="24"/>
      <c r="M311" s="24"/>
      <c r="N311" s="24"/>
      <c r="O311" s="24"/>
      <c r="P311" s="24"/>
      <c r="Q311" s="23">
        <f t="shared" si="44"/>
        <v>0</v>
      </c>
    </row>
    <row r="312" spans="1:41">
      <c r="A312" s="58"/>
      <c r="B312" s="17"/>
      <c r="C312" s="17"/>
      <c r="D312" s="17"/>
      <c r="E312" s="17"/>
      <c r="F312" s="17"/>
      <c r="G312" s="17"/>
      <c r="H312" s="27"/>
      <c r="I312" s="29"/>
      <c r="J312" s="24"/>
      <c r="K312" s="24"/>
      <c r="L312" s="24"/>
      <c r="M312" s="24"/>
      <c r="N312" s="24"/>
      <c r="O312" s="24"/>
      <c r="P312" s="24"/>
      <c r="Q312" s="23">
        <f t="shared" si="44"/>
        <v>0</v>
      </c>
    </row>
    <row r="313" spans="1:41" ht="15.75">
      <c r="A313" s="26" t="s">
        <v>23</v>
      </c>
      <c r="B313" s="17"/>
      <c r="C313" s="17"/>
      <c r="D313" s="17"/>
      <c r="E313" s="17"/>
      <c r="F313" s="17"/>
      <c r="G313" s="17"/>
      <c r="H313" s="27"/>
      <c r="I313" s="29"/>
      <c r="J313" s="24"/>
      <c r="K313" s="24"/>
      <c r="L313" s="24"/>
      <c r="M313" s="24"/>
      <c r="N313" s="24"/>
      <c r="O313" s="24"/>
      <c r="P313" s="24"/>
      <c r="Q313" s="23">
        <f t="shared" si="44"/>
        <v>0</v>
      </c>
    </row>
    <row r="314" spans="1:41" ht="15.75">
      <c r="A314" s="26" t="s">
        <v>762</v>
      </c>
      <c r="B314" s="17"/>
      <c r="C314" s="17"/>
      <c r="D314" s="17"/>
      <c r="E314" s="17"/>
      <c r="F314" s="17"/>
      <c r="G314" s="17"/>
      <c r="H314" s="27"/>
      <c r="I314" s="29"/>
      <c r="J314" s="24"/>
      <c r="K314" s="24"/>
      <c r="L314" s="24"/>
      <c r="M314" s="24"/>
      <c r="N314" s="24"/>
      <c r="O314" s="24"/>
      <c r="P314" s="24"/>
      <c r="Q314" s="23">
        <f t="shared" si="44"/>
        <v>0</v>
      </c>
    </row>
    <row r="315" spans="1:41">
      <c r="A315" s="18"/>
      <c r="B315" s="19"/>
      <c r="C315" s="19"/>
      <c r="D315" s="19"/>
      <c r="E315" s="19"/>
      <c r="F315" s="19"/>
      <c r="G315" s="19"/>
      <c r="H315" s="19"/>
      <c r="I315" s="29"/>
      <c r="J315" s="24"/>
      <c r="K315" s="24"/>
      <c r="L315" s="24"/>
      <c r="M315" s="24"/>
      <c r="N315" s="24"/>
      <c r="O315" s="24"/>
      <c r="P315" s="24"/>
      <c r="Q315" s="23">
        <f t="shared" si="44"/>
        <v>0</v>
      </c>
    </row>
    <row r="316" spans="1:41">
      <c r="A316" s="63"/>
      <c r="B316" s="64" t="s">
        <v>215</v>
      </c>
      <c r="C316" s="64"/>
      <c r="D316" s="64"/>
      <c r="E316" s="64"/>
      <c r="F316" s="64"/>
      <c r="G316" s="64"/>
      <c r="H316" s="65"/>
      <c r="I316" s="29"/>
      <c r="J316" s="24"/>
      <c r="K316" s="24"/>
      <c r="L316" s="24"/>
      <c r="M316" s="24"/>
      <c r="N316" s="24"/>
      <c r="O316" s="24"/>
      <c r="P316" s="24"/>
      <c r="Q316" s="23">
        <f t="shared" si="44"/>
        <v>0</v>
      </c>
    </row>
    <row r="317" spans="1:41">
      <c r="A317" s="63"/>
      <c r="B317" s="64" t="s">
        <v>209</v>
      </c>
      <c r="C317" s="64"/>
      <c r="D317" s="597" t="s">
        <v>30</v>
      </c>
      <c r="E317" s="598"/>
      <c r="F317" s="598"/>
      <c r="G317" s="598"/>
      <c r="H317" s="68" t="s">
        <v>196</v>
      </c>
      <c r="I317" s="29"/>
      <c r="J317" s="24"/>
      <c r="K317" s="24"/>
      <c r="L317" s="24"/>
      <c r="M317" s="24"/>
      <c r="N317" s="24"/>
      <c r="O317" s="24"/>
      <c r="P317" s="24"/>
      <c r="Q317" s="23">
        <f t="shared" si="44"/>
        <v>0</v>
      </c>
    </row>
    <row r="318" spans="1:41" ht="36">
      <c r="A318" s="63"/>
      <c r="B318" s="69" t="s">
        <v>22</v>
      </c>
      <c r="C318" s="70" t="s">
        <v>21</v>
      </c>
      <c r="D318" s="71" t="s">
        <v>28</v>
      </c>
      <c r="E318" s="72" t="s">
        <v>195</v>
      </c>
      <c r="F318" s="69" t="s">
        <v>210</v>
      </c>
      <c r="G318" s="73" t="s">
        <v>32</v>
      </c>
      <c r="H318" s="74" t="s">
        <v>31</v>
      </c>
      <c r="I318" s="29"/>
      <c r="J318" s="24"/>
      <c r="K318" s="24"/>
      <c r="L318" s="24"/>
      <c r="M318" s="24"/>
      <c r="N318" s="24"/>
      <c r="O318" s="24"/>
      <c r="P318" s="24"/>
      <c r="Q318" s="23">
        <f t="shared" si="44"/>
        <v>0</v>
      </c>
    </row>
    <row r="319" spans="1:41" ht="15.75" customHeight="1">
      <c r="A319" s="25" t="s">
        <v>220</v>
      </c>
      <c r="B319" s="89">
        <f>(' Pivot Table for Data Exchange'!$M$7)*100</f>
        <v>86.696454471445819</v>
      </c>
      <c r="C319" s="89">
        <f>(' Pivot Table for Data Exchange'!$M$10)*100</f>
        <v>1.9171493538697633</v>
      </c>
      <c r="D319" s="83">
        <f>SUM(E319:G319)</f>
        <v>11.019772240261259</v>
      </c>
      <c r="E319" s="89">
        <f>(' Pivot Table for Data Exchange'!$M$13)*100</f>
        <v>10.381689389615129</v>
      </c>
      <c r="F319" s="89">
        <f>(' Pivot Table for Data Exchange'!$M$16)*100</f>
        <v>0.63302984083019076</v>
      </c>
      <c r="G319" s="584">
        <f>(' Pivot Table for Data Exchange'!$M$19)*100</f>
        <v>5.0530098159394391E-3</v>
      </c>
      <c r="H319" s="156">
        <f>(' Pivot Table for Data Exchange'!$M$22)*100</f>
        <v>0.36662393442316149</v>
      </c>
      <c r="I319" s="24"/>
      <c r="J319" s="82"/>
      <c r="K319" s="82"/>
      <c r="L319" s="82"/>
      <c r="M319" s="82"/>
      <c r="N319" s="82"/>
      <c r="O319" s="82"/>
      <c r="P319" s="82"/>
      <c r="Q319" s="23">
        <f t="shared" si="44"/>
        <v>100</v>
      </c>
      <c r="R319" s="23"/>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row>
    <row r="320" spans="1:41" ht="15.75" customHeight="1">
      <c r="A320" s="24" t="s">
        <v>221</v>
      </c>
      <c r="B320" s="89">
        <f>(' Pivot Table for Data Exchange'!$M$43)*100</f>
        <v>61.055086484268713</v>
      </c>
      <c r="C320" s="89">
        <f>(' Pivot Table for Data Exchange'!$M$46)*100</f>
        <v>20.423243861884298</v>
      </c>
      <c r="D320" s="83">
        <f>SUM(E320:G320)</f>
        <v>18.521669653846985</v>
      </c>
      <c r="E320" s="89">
        <f>(' Pivot Table for Data Exchange'!$M$49)*100</f>
        <v>7.9466194476235721</v>
      </c>
      <c r="F320" s="89">
        <f>(' Pivot Table for Data Exchange'!$M$52)*100</f>
        <v>0.21766827182621087</v>
      </c>
      <c r="G320" s="91">
        <f>(' Pivot Table for Data Exchange'!$M$55)*100</f>
        <v>10.357381934397202</v>
      </c>
      <c r="H320" s="89">
        <f>(' Pivot Table for Data Exchange'!$M$58)*100</f>
        <v>0</v>
      </c>
      <c r="I320" s="24"/>
      <c r="J320" s="82"/>
      <c r="K320" s="82"/>
      <c r="L320" s="82"/>
      <c r="M320" s="82"/>
      <c r="N320" s="82"/>
      <c r="O320" s="82"/>
      <c r="P320" s="82"/>
      <c r="Q320" s="23">
        <f t="shared" si="44"/>
        <v>100</v>
      </c>
      <c r="R320" s="23"/>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row>
    <row r="321" spans="1:41" ht="15.75" customHeight="1">
      <c r="A321" s="24" t="s">
        <v>222</v>
      </c>
      <c r="B321" s="89">
        <f>(' Pivot Table for Data Exchange'!$M$79)*100</f>
        <v>88.581654164828166</v>
      </c>
      <c r="C321" s="89">
        <f>(' Pivot Table for Data Exchange'!$M$82)*100</f>
        <v>0</v>
      </c>
      <c r="D321" s="83">
        <f>SUM(E321:G321)</f>
        <v>11.41834583517184</v>
      </c>
      <c r="E321" s="89">
        <f>(' Pivot Table for Data Exchange'!$M$85)*100</f>
        <v>5.4049837988652518</v>
      </c>
      <c r="F321" s="89">
        <f>(' Pivot Table for Data Exchange'!$M$88)*100</f>
        <v>0.30262917452209992</v>
      </c>
      <c r="G321" s="91">
        <f>(' Pivot Table for Data Exchange'!$M$91)*100</f>
        <v>5.7107328617844875</v>
      </c>
      <c r="H321" s="89">
        <f>(' Pivot Table for Data Exchange'!$M$94)*100</f>
        <v>0</v>
      </c>
      <c r="I321" s="24"/>
      <c r="J321" s="82"/>
      <c r="K321" s="82"/>
      <c r="L321" s="82"/>
      <c r="M321" s="82"/>
      <c r="N321" s="82"/>
      <c r="O321" s="82"/>
      <c r="P321" s="82"/>
      <c r="Q321" s="23">
        <f t="shared" si="44"/>
        <v>100</v>
      </c>
      <c r="R321" s="23"/>
      <c r="S321" s="31"/>
      <c r="T321" s="40"/>
      <c r="U321" s="31"/>
      <c r="V321" s="31"/>
      <c r="W321" s="31"/>
      <c r="X321" s="31"/>
      <c r="Y321" s="31"/>
      <c r="Z321" s="31"/>
      <c r="AA321" s="31"/>
      <c r="AB321" s="31"/>
      <c r="AC321" s="31"/>
      <c r="AD321" s="31"/>
      <c r="AE321" s="31"/>
      <c r="AF321" s="31"/>
      <c r="AG321" s="31"/>
      <c r="AH321" s="31"/>
      <c r="AI321" s="31"/>
      <c r="AJ321" s="31"/>
      <c r="AK321" s="31"/>
      <c r="AL321" s="31"/>
      <c r="AM321" s="31"/>
      <c r="AN321" s="31"/>
      <c r="AO321" s="31"/>
    </row>
    <row r="322" spans="1:41" ht="15.75" customHeight="1">
      <c r="A322" s="586" t="s">
        <v>111</v>
      </c>
      <c r="B322" s="89">
        <f>(' Pivot Table for Data Exchange'!$M$115)*100</f>
        <v>77.313475773391417</v>
      </c>
      <c r="C322" s="89">
        <f>(' Pivot Table for Data Exchange'!$M$118)*100</f>
        <v>4.7629657729260479</v>
      </c>
      <c r="D322" s="83">
        <f>SUM(E322:G322)</f>
        <v>17.806088417003117</v>
      </c>
      <c r="E322" s="89">
        <f>(' Pivot Table for Data Exchange'!$M$121)*100</f>
        <v>13.191194118883063</v>
      </c>
      <c r="F322" s="89">
        <f>(' Pivot Table for Data Exchange'!$M$124)*100</f>
        <v>1.1888024120138143</v>
      </c>
      <c r="G322" s="91">
        <f>(' Pivot Table for Data Exchange'!$M$127)*100</f>
        <v>3.4260918861062417</v>
      </c>
      <c r="H322" s="89">
        <f>(' Pivot Table for Data Exchange'!$M$130)*100</f>
        <v>0.11747003667941962</v>
      </c>
      <c r="I322" s="24"/>
      <c r="J322" s="82"/>
      <c r="K322" s="82"/>
      <c r="L322" s="82"/>
      <c r="M322" s="82"/>
      <c r="N322" s="82"/>
      <c r="O322" s="82"/>
      <c r="P322" s="82"/>
      <c r="Q322" s="23">
        <f t="shared" si="44"/>
        <v>100.00000000000001</v>
      </c>
      <c r="R322" s="23"/>
      <c r="S322" s="31"/>
      <c r="U322" s="31"/>
      <c r="V322" s="31"/>
      <c r="W322" s="31"/>
      <c r="X322" s="31"/>
      <c r="Y322" s="31"/>
      <c r="Z322" s="31"/>
      <c r="AA322" s="31"/>
      <c r="AB322" s="31"/>
      <c r="AC322" s="31"/>
      <c r="AD322" s="31"/>
      <c r="AE322" s="31"/>
      <c r="AF322" s="31"/>
      <c r="AG322" s="31"/>
      <c r="AH322" s="31"/>
      <c r="AI322" s="31"/>
      <c r="AJ322" s="31"/>
      <c r="AK322" s="31"/>
      <c r="AL322" s="31"/>
      <c r="AM322" s="31"/>
      <c r="AN322" s="31"/>
      <c r="AO322" s="31"/>
    </row>
    <row r="323" spans="1:41" ht="15.75" customHeight="1">
      <c r="A323" s="24"/>
      <c r="B323" s="89"/>
      <c r="C323" s="89"/>
      <c r="D323" s="83"/>
      <c r="E323" s="89"/>
      <c r="F323" s="89"/>
      <c r="G323" s="91"/>
      <c r="H323" s="89"/>
      <c r="I323" s="24"/>
      <c r="J323" s="82"/>
      <c r="K323" s="82"/>
      <c r="L323" s="82"/>
      <c r="M323" s="82"/>
      <c r="N323" s="82"/>
      <c r="O323" s="82"/>
      <c r="P323" s="82"/>
      <c r="Q323" s="23">
        <f t="shared" si="44"/>
        <v>0</v>
      </c>
      <c r="R323" s="23"/>
      <c r="S323" s="31"/>
      <c r="U323" s="31"/>
      <c r="V323" s="31"/>
      <c r="W323" s="31"/>
      <c r="X323" s="31"/>
      <c r="Y323" s="31"/>
      <c r="Z323" s="31"/>
      <c r="AA323" s="31"/>
      <c r="AB323" s="31"/>
      <c r="AC323" s="31"/>
      <c r="AD323" s="31"/>
      <c r="AE323" s="31"/>
      <c r="AF323" s="31"/>
      <c r="AG323" s="31"/>
      <c r="AH323" s="31"/>
      <c r="AI323" s="31"/>
      <c r="AJ323" s="31"/>
      <c r="AK323" s="31"/>
      <c r="AL323" s="31"/>
      <c r="AM323" s="31"/>
      <c r="AN323" s="31"/>
      <c r="AO323" s="31"/>
    </row>
    <row r="324" spans="1:41" ht="15.75" customHeight="1">
      <c r="A324" s="24" t="s">
        <v>224</v>
      </c>
      <c r="B324" s="89">
        <f>(' Pivot Table for Data Exchange'!$M$151)*100</f>
        <v>76.815463632068898</v>
      </c>
      <c r="C324" s="89">
        <f>(' Pivot Table for Data Exchange'!$M$154)*100</f>
        <v>14.801800625564116</v>
      </c>
      <c r="D324" s="83">
        <f>SUM(E324:G324)</f>
        <v>8.3827357423669877</v>
      </c>
      <c r="E324" s="89">
        <f>(' Pivot Table for Data Exchange'!$M$157)*100</f>
        <v>7.6940980126134608</v>
      </c>
      <c r="F324" s="89">
        <f>(' Pivot Table for Data Exchange'!$M$160)*100</f>
        <v>0.4388662139242574</v>
      </c>
      <c r="G324" s="91">
        <f>(' Pivot Table for Data Exchange'!$M$163)*100</f>
        <v>0.24977151582926982</v>
      </c>
      <c r="H324" s="89">
        <f>(' Pivot Table for Data Exchange'!$M$166)*100</f>
        <v>0</v>
      </c>
      <c r="I324" s="24"/>
      <c r="J324" s="82"/>
      <c r="K324" s="82"/>
      <c r="L324" s="82"/>
      <c r="M324" s="82"/>
      <c r="N324" s="82"/>
      <c r="O324" s="82"/>
      <c r="P324" s="82"/>
      <c r="Q324" s="23">
        <f t="shared" si="44"/>
        <v>100</v>
      </c>
      <c r="R324" s="23"/>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row>
    <row r="325" spans="1:41" ht="15.75" customHeight="1">
      <c r="A325" s="24" t="s">
        <v>225</v>
      </c>
      <c r="B325" s="89">
        <f>(' Pivot Table for Data Exchange'!$M$187)*100</f>
        <v>70.117527718997749</v>
      </c>
      <c r="C325" s="89">
        <f>(' Pivot Table for Data Exchange'!$M$190)*100</f>
        <v>8.6105233108421775</v>
      </c>
      <c r="D325" s="83">
        <f>SUM(E325:G325)</f>
        <v>21.271948970160075</v>
      </c>
      <c r="E325" s="89">
        <f>(' Pivot Table for Data Exchange'!$M$193)*100</f>
        <v>19.717800439845515</v>
      </c>
      <c r="F325" s="89">
        <f>(' Pivot Table for Data Exchange'!$M$196)*100</f>
        <v>1.2535735715760576</v>
      </c>
      <c r="G325" s="91">
        <f>(' Pivot Table for Data Exchange'!$M$199)*100</f>
        <v>0.30057495873849976</v>
      </c>
      <c r="H325" s="89">
        <f>(' Pivot Table for Data Exchange'!$M$202)*100</f>
        <v>0</v>
      </c>
      <c r="I325" s="24"/>
      <c r="J325" s="82"/>
      <c r="K325" s="82"/>
      <c r="L325" s="82"/>
      <c r="M325" s="82"/>
      <c r="N325" s="82"/>
      <c r="O325" s="82"/>
      <c r="P325" s="82"/>
      <c r="Q325" s="23">
        <f t="shared" si="44"/>
        <v>100</v>
      </c>
      <c r="R325" s="23"/>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row>
    <row r="326" spans="1:41" ht="15.75" customHeight="1">
      <c r="A326" s="24" t="s">
        <v>226</v>
      </c>
      <c r="B326" s="89">
        <f>(' Pivot Table for Data Exchange'!$M$223)*100</f>
        <v>92.447198332181586</v>
      </c>
      <c r="C326" s="89">
        <f>(' Pivot Table for Data Exchange'!$M$226)*100</f>
        <v>0</v>
      </c>
      <c r="D326" s="83">
        <f>SUM(E326:G326)</f>
        <v>7.5528016678184224</v>
      </c>
      <c r="E326" s="89">
        <f>(' Pivot Table for Data Exchange'!$M$229)*100</f>
        <v>7.3573904913444181</v>
      </c>
      <c r="F326" s="89">
        <f>(' Pivot Table for Data Exchange'!$M$232)*100</f>
        <v>0.19541117647400422</v>
      </c>
      <c r="G326" s="91">
        <f>(' Pivot Table for Data Exchange'!$M$235)*100</f>
        <v>0</v>
      </c>
      <c r="H326" s="89">
        <f>(' Pivot Table for Data Exchange'!$M$238)*100</f>
        <v>0</v>
      </c>
      <c r="I326" s="24"/>
      <c r="J326" s="82"/>
      <c r="K326" s="82"/>
      <c r="L326" s="82"/>
      <c r="M326" s="82"/>
      <c r="N326" s="82"/>
      <c r="O326" s="82"/>
      <c r="P326" s="82"/>
      <c r="Q326" s="23">
        <f t="shared" si="44"/>
        <v>100.00000000000001</v>
      </c>
      <c r="R326" s="23"/>
      <c r="S326" s="31"/>
      <c r="T326" s="40"/>
      <c r="U326" s="31"/>
      <c r="V326" s="31"/>
      <c r="W326" s="31"/>
      <c r="X326" s="31"/>
      <c r="Y326" s="31"/>
      <c r="Z326" s="31"/>
      <c r="AA326" s="31"/>
      <c r="AB326" s="31"/>
      <c r="AC326" s="31"/>
      <c r="AD326" s="31"/>
      <c r="AE326" s="31"/>
      <c r="AF326" s="31"/>
      <c r="AG326" s="31"/>
      <c r="AH326" s="31"/>
      <c r="AI326" s="31"/>
      <c r="AJ326" s="31"/>
      <c r="AK326" s="31"/>
      <c r="AL326" s="31"/>
      <c r="AM326" s="31"/>
      <c r="AN326" s="31"/>
      <c r="AO326" s="31"/>
    </row>
    <row r="327" spans="1:41" ht="15.75" customHeight="1">
      <c r="A327" s="24" t="s">
        <v>227</v>
      </c>
      <c r="B327" s="89">
        <f>(' Pivot Table for Data Exchange'!$M$259)*100</f>
        <v>77.166149405702598</v>
      </c>
      <c r="C327" s="89">
        <f>(' Pivot Table for Data Exchange'!$M$262)*100</f>
        <v>9.462101962542226</v>
      </c>
      <c r="D327" s="83">
        <f>SUM(E327:G327)</f>
        <v>13.355624726979981</v>
      </c>
      <c r="E327" s="89">
        <f>(' Pivot Table for Data Exchange'!$M$265)*100</f>
        <v>12.623988253563839</v>
      </c>
      <c r="F327" s="89">
        <f>(' Pivot Table for Data Exchange'!$M$268)*100</f>
        <v>0.30017907826154577</v>
      </c>
      <c r="G327" s="91">
        <f>(' Pivot Table for Data Exchange'!$M$271)*100</f>
        <v>0.43145739515459508</v>
      </c>
      <c r="H327" s="156">
        <f>(' Pivot Table for Data Exchange'!$M$274)*100</f>
        <v>1.61239047751916E-2</v>
      </c>
      <c r="I327" s="24"/>
      <c r="J327" s="82"/>
      <c r="K327" s="82"/>
      <c r="L327" s="82"/>
      <c r="M327" s="82"/>
      <c r="N327" s="82"/>
      <c r="O327" s="82"/>
      <c r="P327" s="82"/>
      <c r="Q327" s="23">
        <f t="shared" si="44"/>
        <v>99.999999999999986</v>
      </c>
      <c r="R327" s="23"/>
      <c r="S327" s="31"/>
      <c r="U327" s="31"/>
      <c r="V327" s="31"/>
      <c r="W327" s="31"/>
      <c r="X327" s="31"/>
      <c r="Y327" s="31"/>
      <c r="Z327" s="31"/>
      <c r="AA327" s="31"/>
      <c r="AB327" s="31"/>
      <c r="AC327" s="31"/>
      <c r="AD327" s="31"/>
      <c r="AE327" s="31"/>
      <c r="AF327" s="31"/>
      <c r="AG327" s="31"/>
      <c r="AH327" s="31"/>
      <c r="AI327" s="31"/>
      <c r="AJ327" s="31"/>
      <c r="AK327" s="31"/>
      <c r="AL327" s="31"/>
      <c r="AM327" s="31"/>
      <c r="AN327" s="31"/>
      <c r="AO327" s="31"/>
    </row>
    <row r="328" spans="1:41" ht="12" customHeight="1">
      <c r="A328" s="24"/>
      <c r="B328" s="89"/>
      <c r="C328" s="89"/>
      <c r="D328" s="83"/>
      <c r="E328" s="89"/>
      <c r="F328" s="89"/>
      <c r="G328" s="91"/>
      <c r="H328" s="89"/>
      <c r="I328" s="155"/>
      <c r="J328" s="82"/>
      <c r="K328" s="82"/>
      <c r="L328" s="82"/>
      <c r="M328" s="82"/>
      <c r="N328" s="82"/>
      <c r="O328" s="82"/>
      <c r="P328" s="82"/>
      <c r="Q328" s="23">
        <f t="shared" si="44"/>
        <v>0</v>
      </c>
      <c r="R328" s="23"/>
      <c r="S328" s="31"/>
      <c r="U328" s="31"/>
      <c r="V328" s="31"/>
      <c r="W328" s="31"/>
      <c r="X328" s="31"/>
      <c r="Y328" s="31"/>
      <c r="Z328" s="31"/>
      <c r="AA328" s="31"/>
      <c r="AB328" s="31"/>
      <c r="AC328" s="31"/>
      <c r="AD328" s="31"/>
      <c r="AE328" s="31"/>
      <c r="AF328" s="31"/>
      <c r="AG328" s="31"/>
      <c r="AH328" s="31"/>
      <c r="AI328" s="31"/>
      <c r="AJ328" s="31"/>
      <c r="AK328" s="31"/>
      <c r="AL328" s="31"/>
      <c r="AM328" s="31"/>
      <c r="AN328" s="31"/>
      <c r="AO328" s="31"/>
    </row>
    <row r="329" spans="1:41" ht="15.75" customHeight="1">
      <c r="A329" s="586" t="s">
        <v>899</v>
      </c>
      <c r="B329" s="153">
        <f>(' Pivot Table for Data Exchange'!$M$295)*100</f>
        <v>84.486431913514195</v>
      </c>
      <c r="C329" s="89">
        <f>(' Pivot Table for Data Exchange'!$M$298)*100</f>
        <v>0</v>
      </c>
      <c r="D329" s="83">
        <f>SUM(E329:G329)</f>
        <v>15.51356808648581</v>
      </c>
      <c r="E329" s="89">
        <f>(' Pivot Table for Data Exchange'!$M$301)*100</f>
        <v>15.51356808648581</v>
      </c>
      <c r="F329" s="89">
        <f>(' Pivot Table for Data Exchange'!$M$304)*100</f>
        <v>0</v>
      </c>
      <c r="G329" s="91">
        <f>(' Pivot Table for Data Exchange'!$M$307)*100</f>
        <v>0</v>
      </c>
      <c r="H329" s="89">
        <f>(' Pivot Table for Data Exchange'!$M$310)*100</f>
        <v>0</v>
      </c>
      <c r="I329" s="154"/>
      <c r="J329" s="82"/>
      <c r="K329" s="82"/>
      <c r="L329" s="82"/>
      <c r="M329" s="82"/>
      <c r="N329" s="82"/>
      <c r="O329" s="82"/>
      <c r="P329" s="82"/>
      <c r="Q329" s="23">
        <f t="shared" si="44"/>
        <v>100</v>
      </c>
      <c r="R329" s="23"/>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row>
    <row r="330" spans="1:41" ht="15.75" customHeight="1">
      <c r="A330" s="24" t="s">
        <v>212</v>
      </c>
      <c r="B330" s="89">
        <f>(' Pivot Table for Data Exchange'!$M$331)*100</f>
        <v>63.532356815525326</v>
      </c>
      <c r="C330" s="89">
        <f>(' Pivot Table for Data Exchange'!$M$334)*100</f>
        <v>17.358828549694795</v>
      </c>
      <c r="D330" s="83">
        <f>SUM(E330:G330)</f>
        <v>19.108814634779865</v>
      </c>
      <c r="E330" s="89">
        <f>(' Pivot Table for Data Exchange'!$M$337)*100</f>
        <v>12.969220208167126</v>
      </c>
      <c r="F330" s="89">
        <f>(' Pivot Table for Data Exchange'!$M$340)*100</f>
        <v>0.59432457002912853</v>
      </c>
      <c r="G330" s="91">
        <f>(' Pivot Table for Data Exchange'!$M$343)*100</f>
        <v>5.5452698565836096</v>
      </c>
      <c r="H330" s="89">
        <f>(' Pivot Table for Data Exchange'!$M$346)*100</f>
        <v>0</v>
      </c>
      <c r="I330" s="24"/>
      <c r="J330" s="82"/>
      <c r="K330" s="82"/>
      <c r="L330" s="82"/>
      <c r="M330" s="82"/>
      <c r="N330" s="82"/>
      <c r="O330" s="82"/>
      <c r="P330" s="82"/>
      <c r="Q330" s="23">
        <f t="shared" si="44"/>
        <v>99.999999999999986</v>
      </c>
      <c r="R330" s="23"/>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row>
    <row r="331" spans="1:41" ht="15.75" customHeight="1">
      <c r="A331" s="24" t="s">
        <v>205</v>
      </c>
      <c r="B331" s="89">
        <f>(' Pivot Table for Data Exchange'!$M$367)*100</f>
        <v>76.986315145522042</v>
      </c>
      <c r="C331" s="89">
        <f>(' Pivot Table for Data Exchange'!$M$370)*100</f>
        <v>3.6400763156203997</v>
      </c>
      <c r="D331" s="83">
        <f>SUM(E331:G331)</f>
        <v>19.373608538857557</v>
      </c>
      <c r="E331" s="89">
        <f>(' Pivot Table for Data Exchange'!$M$373)*100</f>
        <v>16.231595002053147</v>
      </c>
      <c r="F331" s="89">
        <f>(' Pivot Table for Data Exchange'!$M$376)*100</f>
        <v>1.3494903446214528</v>
      </c>
      <c r="G331" s="91">
        <f>(' Pivot Table for Data Exchange'!$M$379)*100</f>
        <v>1.7925231921829563</v>
      </c>
      <c r="H331" s="89">
        <f>(' Pivot Table for Data Exchange'!$M$382)*100</f>
        <v>0</v>
      </c>
      <c r="I331" s="24"/>
      <c r="J331" s="82"/>
      <c r="K331" s="82"/>
      <c r="L331" s="82"/>
      <c r="M331" s="82"/>
      <c r="N331" s="82"/>
      <c r="O331" s="82"/>
      <c r="P331" s="82"/>
      <c r="Q331" s="23">
        <f t="shared" ref="Q331:Q393" si="45">SUM(B331,C331,D331,H331)</f>
        <v>100</v>
      </c>
      <c r="R331" s="23"/>
      <c r="S331" s="31"/>
      <c r="T331" s="40"/>
      <c r="U331" s="31"/>
      <c r="V331" s="31"/>
      <c r="W331" s="31"/>
      <c r="X331" s="31"/>
      <c r="Y331" s="31"/>
      <c r="Z331" s="31"/>
      <c r="AA331" s="31"/>
      <c r="AB331" s="31"/>
      <c r="AC331" s="31"/>
      <c r="AD331" s="31"/>
      <c r="AE331" s="31"/>
      <c r="AF331" s="31"/>
      <c r="AG331" s="31"/>
      <c r="AH331" s="31"/>
      <c r="AI331" s="31"/>
      <c r="AJ331" s="31"/>
      <c r="AK331" s="31"/>
      <c r="AL331" s="31"/>
      <c r="AM331" s="31"/>
      <c r="AN331" s="31"/>
      <c r="AO331" s="31"/>
    </row>
    <row r="332" spans="1:41" ht="15.75" customHeight="1">
      <c r="A332" s="24" t="s">
        <v>228</v>
      </c>
      <c r="B332" s="89">
        <f>(' Pivot Table for Data Exchange'!$M$403)*100</f>
        <v>75.640534497962904</v>
      </c>
      <c r="C332" s="89">
        <f>(' Pivot Table for Data Exchange'!$M$406)*100</f>
        <v>7.7665091534047468</v>
      </c>
      <c r="D332" s="83">
        <f>SUM(E332:G332)</f>
        <v>16.592956348632349</v>
      </c>
      <c r="E332" s="89">
        <f>(' Pivot Table for Data Exchange'!$M$409)*100</f>
        <v>13.530877728810967</v>
      </c>
      <c r="F332" s="89">
        <f>(' Pivot Table for Data Exchange'!$M$412)*100</f>
        <v>2.9455109145007201</v>
      </c>
      <c r="G332" s="91">
        <f>(' Pivot Table for Data Exchange'!$M$415)*100</f>
        <v>0.11656770532066285</v>
      </c>
      <c r="H332" s="89">
        <f>(' Pivot Table for Data Exchange'!$M$418)*100</f>
        <v>0</v>
      </c>
      <c r="I332" s="24"/>
      <c r="J332" s="82"/>
      <c r="K332" s="82"/>
      <c r="L332" s="82"/>
      <c r="M332" s="82"/>
      <c r="N332" s="82"/>
      <c r="O332" s="82"/>
      <c r="P332" s="82"/>
      <c r="Q332" s="23">
        <f t="shared" si="45"/>
        <v>100</v>
      </c>
      <c r="R332" s="23"/>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row>
    <row r="333" spans="1:41" ht="12.75" customHeight="1">
      <c r="A333" s="24"/>
      <c r="B333" s="89"/>
      <c r="C333" s="89"/>
      <c r="D333" s="83"/>
      <c r="E333" s="89"/>
      <c r="F333" s="89"/>
      <c r="G333" s="91"/>
      <c r="H333" s="89"/>
      <c r="I333" s="24"/>
      <c r="J333" s="82"/>
      <c r="K333" s="82"/>
      <c r="L333" s="82"/>
      <c r="M333" s="82"/>
      <c r="N333" s="82"/>
      <c r="O333" s="82"/>
      <c r="P333" s="82"/>
      <c r="Q333" s="23">
        <f t="shared" si="45"/>
        <v>0</v>
      </c>
      <c r="R333" s="23"/>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row>
    <row r="334" spans="1:41" ht="15.75" customHeight="1">
      <c r="A334" s="24" t="s">
        <v>229</v>
      </c>
      <c r="B334" s="89">
        <f>(' Pivot Table for Data Exchange'!$M$439)*100</f>
        <v>77.39709969850378</v>
      </c>
      <c r="C334" s="89">
        <f>(' Pivot Table for Data Exchange'!$M$442)*100</f>
        <v>1.640671788860508</v>
      </c>
      <c r="D334" s="83">
        <f>SUM(E334:G334)</f>
        <v>20.644761695135621</v>
      </c>
      <c r="E334" s="89">
        <f>(' Pivot Table for Data Exchange'!$M$445)*100</f>
        <v>13.03129111021248</v>
      </c>
      <c r="F334" s="89">
        <f>(' Pivot Table for Data Exchange'!$M$448)*100</f>
        <v>2.8552562205989998</v>
      </c>
      <c r="G334" s="91">
        <f>(' Pivot Table for Data Exchange'!$M$451)*100</f>
        <v>4.7582143643241421</v>
      </c>
      <c r="H334" s="89">
        <f>(' Pivot Table for Data Exchange'!$M$454)*100</f>
        <v>0.31746681750008959</v>
      </c>
      <c r="I334" s="24"/>
      <c r="J334" s="82"/>
      <c r="K334" s="82"/>
      <c r="L334" s="82"/>
      <c r="M334" s="82"/>
      <c r="N334" s="82"/>
      <c r="O334" s="82"/>
      <c r="P334" s="82"/>
      <c r="Q334" s="23">
        <f t="shared" si="45"/>
        <v>99.999999999999986</v>
      </c>
      <c r="R334" s="23"/>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row>
    <row r="335" spans="1:41" ht="15.75" customHeight="1">
      <c r="A335" s="24" t="s">
        <v>213</v>
      </c>
      <c r="B335" s="89">
        <f>(' Pivot Table for Data Exchange'!$M$475)*100</f>
        <v>65.918678012367693</v>
      </c>
      <c r="C335" s="89">
        <f>(' Pivot Table for Data Exchange'!$M$478)*100</f>
        <v>18.610431867658132</v>
      </c>
      <c r="D335" s="83">
        <f>SUM(E335:G335)</f>
        <v>15.47089011997417</v>
      </c>
      <c r="E335" s="89">
        <f>(' Pivot Table for Data Exchange'!$M$481)*100</f>
        <v>13.45467294651338</v>
      </c>
      <c r="F335" s="89">
        <f>(' Pivot Table for Data Exchange'!$M$484)*100</f>
        <v>1.7299391632396424</v>
      </c>
      <c r="G335" s="91">
        <f>(' Pivot Table for Data Exchange'!$M$487)*100</f>
        <v>0.28627801022114818</v>
      </c>
      <c r="H335" s="89">
        <f>(' Pivot Table for Data Exchange'!$M$490)*100</f>
        <v>0</v>
      </c>
      <c r="I335" s="24"/>
      <c r="J335" s="82"/>
      <c r="K335" s="82"/>
      <c r="L335" s="82"/>
      <c r="M335" s="82"/>
      <c r="N335" s="82"/>
      <c r="O335" s="82"/>
      <c r="P335" s="82"/>
      <c r="Q335" s="23">
        <f t="shared" si="45"/>
        <v>100</v>
      </c>
      <c r="R335" s="23"/>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row>
    <row r="336" spans="1:41" ht="15.75" customHeight="1">
      <c r="A336" s="24" t="s">
        <v>230</v>
      </c>
      <c r="B336" s="89">
        <f>(' Pivot Table for Data Exchange'!$M$511)*100</f>
        <v>0</v>
      </c>
      <c r="C336" s="89">
        <f>(' Pivot Table for Data Exchange'!$M$514)*100</f>
        <v>0</v>
      </c>
      <c r="D336" s="83">
        <f>SUM(E336:G336)</f>
        <v>0</v>
      </c>
      <c r="E336" s="89">
        <f>(' Pivot Table for Data Exchange'!$M$517)*100</f>
        <v>0</v>
      </c>
      <c r="F336" s="89">
        <f>(' Pivot Table for Data Exchange'!$M$520)*100</f>
        <v>0</v>
      </c>
      <c r="G336" s="91">
        <f>(' Pivot Table for Data Exchange'!$M$523)*100</f>
        <v>0</v>
      </c>
      <c r="H336" s="89">
        <f>(' Pivot Table for Data Exchange'!$M$526)*100</f>
        <v>0</v>
      </c>
      <c r="I336" s="24"/>
      <c r="J336" s="82"/>
      <c r="K336" s="82"/>
      <c r="L336" s="82"/>
      <c r="M336" s="82"/>
      <c r="N336" s="82"/>
      <c r="O336" s="82"/>
      <c r="P336" s="82"/>
      <c r="Q336" s="23">
        <f t="shared" si="45"/>
        <v>0</v>
      </c>
      <c r="R336" s="23"/>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row>
    <row r="337" spans="1:41" ht="15.75" customHeight="1">
      <c r="A337" s="18" t="s">
        <v>206</v>
      </c>
      <c r="B337" s="92">
        <f>(' Pivot Table for Data Exchange'!$M$547)*100</f>
        <v>53.118998506294901</v>
      </c>
      <c r="C337" s="92">
        <f>(' Pivot Table for Data Exchange'!$M$550)*100</f>
        <v>37.392417668397464</v>
      </c>
      <c r="D337" s="84">
        <f>SUM(E337:G337)</f>
        <v>9.4885838253076322</v>
      </c>
      <c r="E337" s="92">
        <f>(' Pivot Table for Data Exchange'!$M$553)*100</f>
        <v>9.4885838253076322</v>
      </c>
      <c r="F337" s="92">
        <f>(' Pivot Table for Data Exchange'!$M$556)*100</f>
        <v>0</v>
      </c>
      <c r="G337" s="93">
        <f>(' Pivot Table for Data Exchange'!$M$559)*100</f>
        <v>0</v>
      </c>
      <c r="H337" s="92">
        <f>(' Pivot Table for Data Exchange'!$M$562)*100</f>
        <v>0</v>
      </c>
      <c r="I337" s="24"/>
      <c r="J337" s="82"/>
      <c r="K337" s="82"/>
      <c r="L337" s="82"/>
      <c r="M337" s="82"/>
      <c r="N337" s="82"/>
      <c r="O337" s="82"/>
      <c r="P337" s="82"/>
      <c r="Q337" s="23">
        <f t="shared" si="45"/>
        <v>99.999999999999986</v>
      </c>
      <c r="R337" s="23"/>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row>
    <row r="338" spans="1:41" s="45" customFormat="1" ht="21" customHeight="1">
      <c r="A338" s="85" t="s">
        <v>35</v>
      </c>
      <c r="B338" s="49"/>
      <c r="C338" s="49"/>
      <c r="D338" s="50"/>
      <c r="E338" s="49"/>
      <c r="F338" s="50"/>
      <c r="G338" s="50"/>
      <c r="H338" s="49"/>
      <c r="I338" s="85"/>
      <c r="J338" s="49"/>
      <c r="K338" s="49"/>
      <c r="L338" s="50"/>
      <c r="M338" s="49"/>
      <c r="N338" s="50"/>
      <c r="O338" s="50"/>
      <c r="P338" s="49"/>
      <c r="Q338" s="23">
        <f t="shared" si="45"/>
        <v>0</v>
      </c>
      <c r="R338" s="49"/>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row>
    <row r="339" spans="1:41" s="45" customFormat="1" ht="35.25" customHeight="1">
      <c r="A339" s="599" t="s">
        <v>898</v>
      </c>
      <c r="B339" s="600"/>
      <c r="C339" s="600"/>
      <c r="D339" s="600"/>
      <c r="E339" s="600"/>
      <c r="F339" s="600"/>
      <c r="G339" s="600"/>
      <c r="H339" s="600"/>
      <c r="I339" s="85"/>
      <c r="P339" s="46"/>
      <c r="Q339" s="23">
        <f t="shared" si="45"/>
        <v>0</v>
      </c>
      <c r="R339" s="48"/>
    </row>
    <row r="340" spans="1:41" s="45" customFormat="1">
      <c r="H340" s="572" t="s">
        <v>889</v>
      </c>
      <c r="I340" s="43"/>
      <c r="J340" s="43"/>
      <c r="K340" s="43"/>
      <c r="L340" s="43"/>
      <c r="M340" s="43"/>
      <c r="N340" s="43"/>
      <c r="O340" s="43"/>
      <c r="P340" s="43"/>
      <c r="Q340" s="23">
        <f t="shared" si="45"/>
        <v>0</v>
      </c>
      <c r="R340" s="43"/>
    </row>
    <row r="341" spans="1:41" ht="18">
      <c r="A341" s="15" t="s">
        <v>10</v>
      </c>
      <c r="B341" s="16"/>
      <c r="C341" s="16"/>
      <c r="D341" s="16"/>
      <c r="E341" s="16"/>
      <c r="F341" s="16"/>
      <c r="G341" s="16"/>
      <c r="H341" s="30"/>
      <c r="I341" s="29"/>
      <c r="J341" s="24"/>
      <c r="K341" s="24"/>
      <c r="L341" s="30"/>
      <c r="M341" s="24"/>
      <c r="N341" s="24"/>
      <c r="O341" s="24"/>
      <c r="P341" s="24"/>
      <c r="Q341" s="23">
        <f t="shared" si="45"/>
        <v>0</v>
      </c>
    </row>
    <row r="342" spans="1:41">
      <c r="A342" s="58"/>
      <c r="B342" s="17"/>
      <c r="C342" s="17"/>
      <c r="D342" s="17"/>
      <c r="E342" s="17"/>
      <c r="F342" s="17"/>
      <c r="G342" s="17"/>
      <c r="H342" s="27"/>
      <c r="I342" s="29"/>
      <c r="J342" s="24"/>
      <c r="K342" s="24"/>
      <c r="L342" s="24"/>
      <c r="M342" s="24"/>
      <c r="N342" s="24"/>
      <c r="O342" s="24"/>
      <c r="P342" s="24"/>
      <c r="Q342" s="23">
        <f t="shared" si="45"/>
        <v>0</v>
      </c>
    </row>
    <row r="343" spans="1:41" ht="15.75">
      <c r="A343" s="26" t="s">
        <v>23</v>
      </c>
      <c r="B343" s="17"/>
      <c r="C343" s="17"/>
      <c r="D343" s="17"/>
      <c r="E343" s="17"/>
      <c r="F343" s="17"/>
      <c r="G343" s="17"/>
      <c r="H343" s="27"/>
      <c r="I343" s="29"/>
      <c r="J343" s="24"/>
      <c r="K343" s="24"/>
      <c r="L343" s="27"/>
      <c r="M343" s="24"/>
      <c r="N343" s="24"/>
      <c r="O343" s="24"/>
      <c r="P343" s="24"/>
      <c r="Q343" s="23">
        <f t="shared" si="45"/>
        <v>0</v>
      </c>
    </row>
    <row r="344" spans="1:41" ht="15.75">
      <c r="A344" s="26" t="s">
        <v>763</v>
      </c>
      <c r="B344" s="17"/>
      <c r="C344" s="17"/>
      <c r="D344" s="17"/>
      <c r="E344" s="17"/>
      <c r="F344" s="17"/>
      <c r="G344" s="17"/>
      <c r="H344" s="27"/>
      <c r="I344" s="29"/>
      <c r="J344" s="24"/>
      <c r="K344" s="24"/>
      <c r="L344" s="24"/>
      <c r="M344" s="24"/>
      <c r="N344" s="24"/>
      <c r="O344" s="24"/>
      <c r="P344" s="24"/>
      <c r="Q344" s="23">
        <f t="shared" si="45"/>
        <v>0</v>
      </c>
    </row>
    <row r="345" spans="1:41">
      <c r="A345" s="18"/>
      <c r="B345" s="19"/>
      <c r="C345" s="19"/>
      <c r="D345" s="19"/>
      <c r="E345" s="19"/>
      <c r="F345" s="19"/>
      <c r="G345" s="19"/>
      <c r="H345" s="19"/>
      <c r="I345" s="29"/>
      <c r="J345" s="24"/>
      <c r="K345" s="24"/>
      <c r="L345" s="24"/>
      <c r="M345" s="24"/>
      <c r="N345" s="24"/>
      <c r="O345" s="24"/>
      <c r="P345" s="24"/>
      <c r="Q345" s="23">
        <f t="shared" si="45"/>
        <v>0</v>
      </c>
    </row>
    <row r="346" spans="1:41">
      <c r="A346" s="63"/>
      <c r="B346" s="64" t="s">
        <v>215</v>
      </c>
      <c r="C346" s="64"/>
      <c r="D346" s="64"/>
      <c r="E346" s="64"/>
      <c r="F346" s="64"/>
      <c r="G346" s="64"/>
      <c r="H346" s="65"/>
      <c r="I346" s="29"/>
      <c r="J346" s="24"/>
      <c r="K346" s="24"/>
      <c r="L346" s="24"/>
      <c r="M346" s="24"/>
      <c r="N346" s="24"/>
      <c r="O346" s="24"/>
      <c r="P346" s="24"/>
      <c r="Q346" s="23">
        <f t="shared" si="45"/>
        <v>0</v>
      </c>
    </row>
    <row r="347" spans="1:41">
      <c r="A347" s="63"/>
      <c r="B347" s="64" t="s">
        <v>209</v>
      </c>
      <c r="C347" s="64"/>
      <c r="D347" s="597" t="s">
        <v>30</v>
      </c>
      <c r="E347" s="598"/>
      <c r="F347" s="598"/>
      <c r="G347" s="598"/>
      <c r="H347" s="68" t="s">
        <v>196</v>
      </c>
      <c r="I347" s="29"/>
      <c r="J347" s="24"/>
      <c r="K347" s="24"/>
      <c r="L347" s="24"/>
      <c r="M347" s="24"/>
      <c r="N347" s="24"/>
      <c r="O347" s="24"/>
      <c r="P347" s="24"/>
      <c r="Q347" s="23">
        <f t="shared" si="45"/>
        <v>0</v>
      </c>
    </row>
    <row r="348" spans="1:41" ht="36">
      <c r="A348" s="63"/>
      <c r="B348" s="69" t="s">
        <v>22</v>
      </c>
      <c r="C348" s="70" t="s">
        <v>21</v>
      </c>
      <c r="D348" s="71" t="s">
        <v>28</v>
      </c>
      <c r="E348" s="72" t="s">
        <v>195</v>
      </c>
      <c r="F348" s="69" t="s">
        <v>210</v>
      </c>
      <c r="G348" s="73" t="s">
        <v>32</v>
      </c>
      <c r="H348" s="74" t="s">
        <v>31</v>
      </c>
      <c r="I348" s="29"/>
      <c r="J348" s="24"/>
      <c r="K348" s="24"/>
      <c r="L348" s="24"/>
      <c r="M348" s="24"/>
      <c r="N348" s="24"/>
      <c r="O348" s="24"/>
      <c r="P348" s="24"/>
      <c r="Q348" s="23">
        <f t="shared" si="45"/>
        <v>0</v>
      </c>
    </row>
    <row r="349" spans="1:41" ht="15.75" customHeight="1">
      <c r="A349" s="25" t="s">
        <v>220</v>
      </c>
      <c r="B349" s="89">
        <f>(' Pivot Table for Data Exchange'!$N$7)*100</f>
        <v>82.329776888921501</v>
      </c>
      <c r="C349" s="89">
        <f>(' Pivot Table for Data Exchange'!$N$10)*100</f>
        <v>0.36604161315181094</v>
      </c>
      <c r="D349" s="83">
        <f>SUM(E349:G349)</f>
        <v>17.304181497926681</v>
      </c>
      <c r="E349" s="89">
        <f>(' Pivot Table for Data Exchange'!$N$13)*100</f>
        <v>17.304181497926681</v>
      </c>
      <c r="F349" s="89">
        <f>(' Pivot Table for Data Exchange'!$N$16)*100</f>
        <v>0</v>
      </c>
      <c r="G349" s="90">
        <f>(' Pivot Table for Data Exchange'!$N$19)*100</f>
        <v>0</v>
      </c>
      <c r="H349" s="89">
        <f>(' Pivot Table for Data Exchange'!$N$22)*100</f>
        <v>0</v>
      </c>
      <c r="I349" s="24"/>
      <c r="J349" s="82"/>
      <c r="K349" s="82"/>
      <c r="L349" s="82"/>
      <c r="M349" s="82"/>
      <c r="N349" s="82"/>
      <c r="O349" s="82"/>
      <c r="P349" s="82"/>
      <c r="Q349" s="23">
        <f t="shared" si="45"/>
        <v>99.999999999999986</v>
      </c>
      <c r="R349" s="23"/>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row>
    <row r="350" spans="1:41" ht="15.75" customHeight="1">
      <c r="A350" s="24" t="s">
        <v>221</v>
      </c>
      <c r="B350" s="89">
        <f>(' Pivot Table for Data Exchange'!$N$43)*100</f>
        <v>74.400835919864562</v>
      </c>
      <c r="C350" s="89">
        <f>(' Pivot Table for Data Exchange'!$N$46)*100</f>
        <v>11.026558972911964</v>
      </c>
      <c r="D350" s="83">
        <f>SUM(E350:G350)</f>
        <v>14.572605107223476</v>
      </c>
      <c r="E350" s="89">
        <f>(' Pivot Table for Data Exchange'!$N$49)*100</f>
        <v>11.64424026523702</v>
      </c>
      <c r="F350" s="89">
        <f>(' Pivot Table for Data Exchange'!$N$52)*100</f>
        <v>1.7056409894657638</v>
      </c>
      <c r="G350" s="91">
        <f>(' Pivot Table for Data Exchange'!$N$55)*100</f>
        <v>1.2227238525206923</v>
      </c>
      <c r="H350" s="89">
        <f>(' Pivot Table for Data Exchange'!$N$58)*100</f>
        <v>0</v>
      </c>
      <c r="I350" s="24"/>
      <c r="J350" s="82"/>
      <c r="K350" s="82"/>
      <c r="L350" s="82"/>
      <c r="M350" s="82"/>
      <c r="N350" s="82"/>
      <c r="O350" s="82"/>
      <c r="P350" s="82"/>
      <c r="Q350" s="23">
        <f t="shared" si="45"/>
        <v>100.00000000000001</v>
      </c>
      <c r="R350" s="23"/>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row>
    <row r="351" spans="1:41" ht="15.75" customHeight="1">
      <c r="A351" s="24" t="s">
        <v>222</v>
      </c>
      <c r="B351" s="89">
        <f>(' Pivot Table for Data Exchange'!$N$79)*100</f>
        <v>84.102603604991515</v>
      </c>
      <c r="C351" s="89">
        <f>(' Pivot Table for Data Exchange'!$N$82)*100</f>
        <v>0</v>
      </c>
      <c r="D351" s="83">
        <f>SUM(E351:G351)</f>
        <v>15.897396395008473</v>
      </c>
      <c r="E351" s="89">
        <f>(' Pivot Table for Data Exchange'!$N$85)*100</f>
        <v>8.6566014481589892</v>
      </c>
      <c r="F351" s="156">
        <f>(' Pivot Table for Data Exchange'!$N$88)*100</f>
        <v>4.1596056077645972E-2</v>
      </c>
      <c r="G351" s="91">
        <f>(' Pivot Table for Data Exchange'!$N$91)*100</f>
        <v>7.1991988907718376</v>
      </c>
      <c r="H351" s="89">
        <f>(' Pivot Table for Data Exchange'!$N$94)*100</f>
        <v>0</v>
      </c>
      <c r="I351" s="24"/>
      <c r="J351" s="82"/>
      <c r="K351" s="82"/>
      <c r="L351" s="82"/>
      <c r="M351" s="82"/>
      <c r="N351" s="82"/>
      <c r="O351" s="82"/>
      <c r="P351" s="82"/>
      <c r="Q351" s="23">
        <f t="shared" si="45"/>
        <v>99.999999999999986</v>
      </c>
      <c r="R351" s="23"/>
      <c r="S351" s="31"/>
      <c r="T351" s="40"/>
      <c r="U351" s="31"/>
      <c r="V351" s="31"/>
      <c r="W351" s="31"/>
      <c r="X351" s="31"/>
      <c r="Y351" s="31"/>
      <c r="Z351" s="31"/>
      <c r="AA351" s="31"/>
      <c r="AB351" s="31"/>
      <c r="AC351" s="31"/>
      <c r="AD351" s="31"/>
      <c r="AE351" s="31"/>
      <c r="AF351" s="31"/>
      <c r="AG351" s="31"/>
      <c r="AH351" s="31"/>
      <c r="AI351" s="31"/>
      <c r="AJ351" s="31"/>
      <c r="AK351" s="31"/>
      <c r="AL351" s="31"/>
      <c r="AM351" s="31"/>
      <c r="AN351" s="31"/>
      <c r="AO351" s="31"/>
    </row>
    <row r="352" spans="1:41" ht="15.75" customHeight="1">
      <c r="A352" s="586" t="s">
        <v>111</v>
      </c>
      <c r="B352" s="89">
        <f>(' Pivot Table for Data Exchange'!$N$115)*100</f>
        <v>66.253710156149182</v>
      </c>
      <c r="C352" s="89">
        <f>(' Pivot Table for Data Exchange'!$N$118)*100</f>
        <v>7.6698068567987265</v>
      </c>
      <c r="D352" s="83">
        <f>SUM(E352:G352)</f>
        <v>24.908590355744824</v>
      </c>
      <c r="E352" s="89">
        <f>(' Pivot Table for Data Exchange'!$N$121)*100</f>
        <v>14.339484664687916</v>
      </c>
      <c r="F352" s="89">
        <f>(' Pivot Table for Data Exchange'!$N$124)*100</f>
        <v>4.1102077687443543</v>
      </c>
      <c r="G352" s="91">
        <f>(' Pivot Table for Data Exchange'!$N$127)*100</f>
        <v>6.4588979223125564</v>
      </c>
      <c r="H352" s="89">
        <f>(' Pivot Table for Data Exchange'!$N$130)*100</f>
        <v>1.1678926313072653</v>
      </c>
      <c r="I352" s="24"/>
      <c r="J352" s="82"/>
      <c r="K352" s="82"/>
      <c r="L352" s="82"/>
      <c r="M352" s="82"/>
      <c r="N352" s="82"/>
      <c r="O352" s="82"/>
      <c r="P352" s="82"/>
      <c r="Q352" s="23">
        <f t="shared" si="45"/>
        <v>100</v>
      </c>
      <c r="R352" s="23"/>
      <c r="S352" s="31"/>
      <c r="U352" s="31"/>
      <c r="V352" s="31"/>
      <c r="W352" s="31"/>
      <c r="X352" s="31"/>
      <c r="Y352" s="31"/>
      <c r="Z352" s="31"/>
      <c r="AA352" s="31"/>
      <c r="AB352" s="31"/>
      <c r="AC352" s="31"/>
      <c r="AD352" s="31"/>
      <c r="AE352" s="31"/>
      <c r="AF352" s="31"/>
      <c r="AG352" s="31"/>
      <c r="AH352" s="31"/>
      <c r="AI352" s="31"/>
      <c r="AJ352" s="31"/>
      <c r="AK352" s="31"/>
      <c r="AL352" s="31"/>
      <c r="AM352" s="31"/>
      <c r="AN352" s="31"/>
      <c r="AO352" s="31"/>
    </row>
    <row r="353" spans="1:41" ht="15.75" customHeight="1">
      <c r="A353" s="24"/>
      <c r="B353" s="89"/>
      <c r="C353" s="89"/>
      <c r="D353" s="83"/>
      <c r="E353" s="89"/>
      <c r="F353" s="89"/>
      <c r="G353" s="91"/>
      <c r="H353" s="89"/>
      <c r="I353" s="24"/>
      <c r="J353" s="82"/>
      <c r="K353" s="82"/>
      <c r="L353" s="82"/>
      <c r="M353" s="82"/>
      <c r="N353" s="82"/>
      <c r="O353" s="82"/>
      <c r="P353" s="82"/>
      <c r="Q353" s="23">
        <f t="shared" si="45"/>
        <v>0</v>
      </c>
      <c r="R353" s="23"/>
      <c r="S353" s="31"/>
      <c r="U353" s="31"/>
      <c r="V353" s="31"/>
      <c r="W353" s="31"/>
      <c r="X353" s="31"/>
      <c r="Y353" s="31"/>
      <c r="Z353" s="31"/>
      <c r="AA353" s="31"/>
      <c r="AB353" s="31"/>
      <c r="AC353" s="31"/>
      <c r="AD353" s="31"/>
      <c r="AE353" s="31"/>
      <c r="AF353" s="31"/>
      <c r="AG353" s="31"/>
      <c r="AH353" s="31"/>
      <c r="AI353" s="31"/>
      <c r="AJ353" s="31"/>
      <c r="AK353" s="31"/>
      <c r="AL353" s="31"/>
      <c r="AM353" s="31"/>
      <c r="AN353" s="31"/>
      <c r="AO353" s="31"/>
    </row>
    <row r="354" spans="1:41" ht="15.75" customHeight="1">
      <c r="A354" s="24" t="s">
        <v>224</v>
      </c>
      <c r="B354" s="89">
        <f>(' Pivot Table for Data Exchange'!$N$151)*100</f>
        <v>67.894652632541337</v>
      </c>
      <c r="C354" s="89">
        <f>(' Pivot Table for Data Exchange'!$N$154)*100</f>
        <v>25.957417629512808</v>
      </c>
      <c r="D354" s="83">
        <f>SUM(E354:G354)</f>
        <v>6.1479297379458524</v>
      </c>
      <c r="E354" s="89">
        <f>(' Pivot Table for Data Exchange'!$N$157)*100</f>
        <v>6.1479297379458524</v>
      </c>
      <c r="F354" s="89">
        <f>(' Pivot Table for Data Exchange'!$N$160)*100</f>
        <v>0</v>
      </c>
      <c r="G354" s="91">
        <f>(' Pivot Table for Data Exchange'!$N$163)*100</f>
        <v>0</v>
      </c>
      <c r="H354" s="89">
        <f>(' Pivot Table for Data Exchange'!$N$166)*100</f>
        <v>0</v>
      </c>
      <c r="I354" s="24"/>
      <c r="J354" s="82"/>
      <c r="K354" s="82"/>
      <c r="L354" s="82"/>
      <c r="M354" s="82"/>
      <c r="N354" s="82"/>
      <c r="O354" s="82"/>
      <c r="P354" s="82"/>
      <c r="Q354" s="23">
        <f t="shared" si="45"/>
        <v>100</v>
      </c>
      <c r="R354" s="23"/>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row>
    <row r="355" spans="1:41" ht="15.75" customHeight="1">
      <c r="A355" s="24" t="s">
        <v>225</v>
      </c>
      <c r="B355" s="89">
        <f>(' Pivot Table for Data Exchange'!$N$187)*100</f>
        <v>73.251851851851853</v>
      </c>
      <c r="C355" s="89">
        <f>(' Pivot Table for Data Exchange'!$N$190)*100</f>
        <v>2.8808080808080807</v>
      </c>
      <c r="D355" s="83">
        <f>SUM(E355:G355)</f>
        <v>23.86734006734007</v>
      </c>
      <c r="E355" s="89">
        <f>(' Pivot Table for Data Exchange'!$N$193)*100</f>
        <v>22.461279461279464</v>
      </c>
      <c r="F355" s="89">
        <f>(' Pivot Table for Data Exchange'!$N$196)*100</f>
        <v>1.406060606060606</v>
      </c>
      <c r="G355" s="159">
        <f>(' Pivot Table for Data Exchange'!$N$199)*100</f>
        <v>0</v>
      </c>
      <c r="H355" s="89">
        <f>(' Pivot Table for Data Exchange'!$N$202)*100</f>
        <v>0</v>
      </c>
      <c r="I355" s="24"/>
      <c r="J355" s="82"/>
      <c r="K355" s="82"/>
      <c r="L355" s="82"/>
      <c r="M355" s="82"/>
      <c r="N355" s="82"/>
      <c r="O355" s="82"/>
      <c r="P355" s="82"/>
      <c r="Q355" s="23">
        <f t="shared" si="45"/>
        <v>100</v>
      </c>
      <c r="R355" s="23"/>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row>
    <row r="356" spans="1:41" ht="15.75" customHeight="1">
      <c r="A356" s="24" t="s">
        <v>226</v>
      </c>
      <c r="B356" s="89">
        <f>(' Pivot Table for Data Exchange'!$N$223)*100</f>
        <v>98.232508896273856</v>
      </c>
      <c r="C356" s="89">
        <f>(' Pivot Table for Data Exchange'!$N$226)*100</f>
        <v>0</v>
      </c>
      <c r="D356" s="83">
        <f>SUM(E356:G356)</f>
        <v>1.7674911037261418</v>
      </c>
      <c r="E356" s="89">
        <f>(' Pivot Table for Data Exchange'!$N$229)*100</f>
        <v>1.7674911037261418</v>
      </c>
      <c r="F356" s="89">
        <f>(' Pivot Table for Data Exchange'!$N$232)*100</f>
        <v>0</v>
      </c>
      <c r="G356" s="91">
        <f>(' Pivot Table for Data Exchange'!$N$235)*100</f>
        <v>0</v>
      </c>
      <c r="H356" s="89">
        <f>(' Pivot Table for Data Exchange'!$N$238)*100</f>
        <v>0</v>
      </c>
      <c r="I356" s="24"/>
      <c r="J356" s="82"/>
      <c r="K356" s="82"/>
      <c r="L356" s="82"/>
      <c r="M356" s="82"/>
      <c r="N356" s="82"/>
      <c r="O356" s="82"/>
      <c r="P356" s="82"/>
      <c r="Q356" s="23">
        <f t="shared" si="45"/>
        <v>100</v>
      </c>
      <c r="R356" s="23"/>
      <c r="S356" s="31"/>
      <c r="T356" s="40"/>
      <c r="U356" s="31"/>
      <c r="V356" s="31"/>
      <c r="W356" s="31"/>
      <c r="X356" s="31"/>
      <c r="Y356" s="31"/>
      <c r="Z356" s="31"/>
      <c r="AA356" s="31"/>
      <c r="AB356" s="31"/>
      <c r="AC356" s="31"/>
      <c r="AD356" s="31"/>
      <c r="AE356" s="31"/>
      <c r="AF356" s="31"/>
      <c r="AG356" s="31"/>
      <c r="AH356" s="31"/>
      <c r="AI356" s="31"/>
      <c r="AJ356" s="31"/>
      <c r="AK356" s="31"/>
      <c r="AL356" s="31"/>
      <c r="AM356" s="31"/>
      <c r="AN356" s="31"/>
      <c r="AO356" s="31"/>
    </row>
    <row r="357" spans="1:41" ht="15.75" customHeight="1">
      <c r="A357" s="24" t="s">
        <v>227</v>
      </c>
      <c r="B357" s="89">
        <f>(' Pivot Table for Data Exchange'!$N$259)*100</f>
        <v>83.459017307090463</v>
      </c>
      <c r="C357" s="89">
        <f>(' Pivot Table for Data Exchange'!$N$262)*100</f>
        <v>5.3447484962937875</v>
      </c>
      <c r="D357" s="83">
        <f>SUM(E357:G357)</f>
        <v>11.188946098080656</v>
      </c>
      <c r="E357" s="89">
        <f>(' Pivot Table for Data Exchange'!$N$265)*100</f>
        <v>10.379538449006889</v>
      </c>
      <c r="F357" s="89">
        <f>(' Pivot Table for Data Exchange'!$N$268)*100</f>
        <v>0.67822187544210899</v>
      </c>
      <c r="G357" s="91">
        <f>(' Pivot Table for Data Exchange'!$N$271)*100</f>
        <v>0.13118577363165951</v>
      </c>
      <c r="H357" s="156">
        <f>(' Pivot Table for Data Exchange'!$N$274)*100</f>
        <v>7.2880985350921943E-3</v>
      </c>
      <c r="I357" s="24"/>
      <c r="J357" s="82"/>
      <c r="K357" s="82"/>
      <c r="L357" s="82"/>
      <c r="M357" s="82"/>
      <c r="N357" s="82"/>
      <c r="O357" s="82"/>
      <c r="P357" s="82"/>
      <c r="Q357" s="23">
        <f t="shared" si="45"/>
        <v>100</v>
      </c>
      <c r="R357" s="23"/>
      <c r="S357" s="31"/>
      <c r="U357" s="31"/>
      <c r="V357" s="31"/>
      <c r="W357" s="31"/>
      <c r="X357" s="31"/>
      <c r="Y357" s="31"/>
      <c r="Z357" s="31"/>
      <c r="AA357" s="31"/>
      <c r="AB357" s="31"/>
      <c r="AC357" s="31"/>
      <c r="AD357" s="31"/>
      <c r="AE357" s="31"/>
      <c r="AF357" s="31"/>
      <c r="AG357" s="31"/>
      <c r="AH357" s="31"/>
      <c r="AI357" s="31"/>
      <c r="AJ357" s="31"/>
      <c r="AK357" s="31"/>
      <c r="AL357" s="31"/>
      <c r="AM357" s="31"/>
      <c r="AN357" s="31"/>
      <c r="AO357" s="31"/>
    </row>
    <row r="358" spans="1:41" ht="12.75" customHeight="1">
      <c r="A358" s="24"/>
      <c r="B358" s="89"/>
      <c r="C358" s="89"/>
      <c r="D358" s="83"/>
      <c r="E358" s="89"/>
      <c r="F358" s="89"/>
      <c r="G358" s="91"/>
      <c r="H358" s="89"/>
      <c r="I358" s="155"/>
      <c r="J358" s="82"/>
      <c r="K358" s="82"/>
      <c r="L358" s="82"/>
      <c r="M358" s="82"/>
      <c r="N358" s="82"/>
      <c r="O358" s="82"/>
      <c r="P358" s="82"/>
      <c r="Q358" s="23">
        <f t="shared" si="45"/>
        <v>0</v>
      </c>
      <c r="R358" s="23"/>
      <c r="S358" s="31"/>
      <c r="U358" s="31"/>
      <c r="V358" s="31"/>
      <c r="W358" s="31"/>
      <c r="X358" s="31"/>
      <c r="Y358" s="31"/>
      <c r="Z358" s="31"/>
      <c r="AA358" s="31"/>
      <c r="AB358" s="31"/>
      <c r="AC358" s="31"/>
      <c r="AD358" s="31"/>
      <c r="AE358" s="31"/>
      <c r="AF358" s="31"/>
      <c r="AG358" s="31"/>
      <c r="AH358" s="31"/>
      <c r="AI358" s="31"/>
      <c r="AJ358" s="31"/>
      <c r="AK358" s="31"/>
      <c r="AL358" s="31"/>
      <c r="AM358" s="31"/>
      <c r="AN358" s="31"/>
      <c r="AO358" s="31"/>
    </row>
    <row r="359" spans="1:41" ht="15.75" customHeight="1">
      <c r="A359" s="586" t="s">
        <v>899</v>
      </c>
      <c r="B359" s="153">
        <f>(' Pivot Table for Data Exchange'!$N$295)*100</f>
        <v>91.642907672190191</v>
      </c>
      <c r="C359" s="89">
        <f>(' Pivot Table for Data Exchange'!$N$298)*100</f>
        <v>0</v>
      </c>
      <c r="D359" s="83">
        <f>SUM(E359:G359)</f>
        <v>8.3570923278098128</v>
      </c>
      <c r="E359" s="89">
        <f>(' Pivot Table for Data Exchange'!$N$301)*100</f>
        <v>8.3570923278098128</v>
      </c>
      <c r="F359" s="89">
        <f>(' Pivot Table for Data Exchange'!$N$304)*100</f>
        <v>0</v>
      </c>
      <c r="G359" s="91">
        <f>(' Pivot Table for Data Exchange'!$N$307)*100</f>
        <v>0</v>
      </c>
      <c r="H359" s="89">
        <f>(' Pivot Table for Data Exchange'!$N$310)*100</f>
        <v>0</v>
      </c>
      <c r="I359" s="154"/>
      <c r="J359" s="82"/>
      <c r="K359" s="82"/>
      <c r="L359" s="82"/>
      <c r="M359" s="82"/>
      <c r="N359" s="82"/>
      <c r="O359" s="82"/>
      <c r="P359" s="82"/>
      <c r="Q359" s="23">
        <f t="shared" si="45"/>
        <v>100</v>
      </c>
      <c r="R359" s="23"/>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row>
    <row r="360" spans="1:41" ht="15.75" customHeight="1">
      <c r="A360" s="24" t="s">
        <v>212</v>
      </c>
      <c r="B360" s="89">
        <f>(' Pivot Table for Data Exchange'!$N$331)*100</f>
        <v>62.307933250526538</v>
      </c>
      <c r="C360" s="89">
        <f>(' Pivot Table for Data Exchange'!$N$334)*100</f>
        <v>20.56029594426743</v>
      </c>
      <c r="D360" s="83">
        <f>SUM(E360:G360)</f>
        <v>17.131770805206028</v>
      </c>
      <c r="E360" s="89">
        <f>(' Pivot Table for Data Exchange'!$N$337)*100</f>
        <v>9.531187557379706</v>
      </c>
      <c r="F360" s="89">
        <f>(' Pivot Table for Data Exchange'!$N$340)*100</f>
        <v>0.74099476157044886</v>
      </c>
      <c r="G360" s="91">
        <f>(' Pivot Table for Data Exchange'!$N$343)*100</f>
        <v>6.8595884862558725</v>
      </c>
      <c r="H360" s="89">
        <f>(' Pivot Table for Data Exchange'!$N$346)*100</f>
        <v>0</v>
      </c>
      <c r="I360" s="24"/>
      <c r="J360" s="82"/>
      <c r="K360" s="82"/>
      <c r="L360" s="82"/>
      <c r="M360" s="82"/>
      <c r="N360" s="82"/>
      <c r="O360" s="82"/>
      <c r="P360" s="82"/>
      <c r="Q360" s="23">
        <f t="shared" si="45"/>
        <v>100</v>
      </c>
      <c r="R360" s="23"/>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row>
    <row r="361" spans="1:41" ht="15.75" customHeight="1">
      <c r="A361" s="24" t="s">
        <v>205</v>
      </c>
      <c r="B361" s="89">
        <f>(' Pivot Table for Data Exchange'!$N$367)*100</f>
        <v>70.469345768756</v>
      </c>
      <c r="C361" s="89">
        <f>(' Pivot Table for Data Exchange'!$N$370)*100</f>
        <v>8.3335619256617761</v>
      </c>
      <c r="D361" s="83">
        <f>SUM(E361:G361)</f>
        <v>21.197092305582228</v>
      </c>
      <c r="E361" s="89">
        <f>(' Pivot Table for Data Exchange'!$N$373)*100</f>
        <v>16.20957344671513</v>
      </c>
      <c r="F361" s="89">
        <f>(' Pivot Table for Data Exchange'!$N$376)*100</f>
        <v>4.8031820052119052</v>
      </c>
      <c r="G361" s="91">
        <f>(' Pivot Table for Data Exchange'!$N$379)*100</f>
        <v>0.18433685365519134</v>
      </c>
      <c r="H361" s="158">
        <f>(' Pivot Table for Data Exchange'!$N$382)*100</f>
        <v>0</v>
      </c>
      <c r="I361" s="24"/>
      <c r="J361" s="82"/>
      <c r="K361" s="82"/>
      <c r="L361" s="82"/>
      <c r="M361" s="82"/>
      <c r="N361" s="82"/>
      <c r="O361" s="82"/>
      <c r="P361" s="82"/>
      <c r="Q361" s="23">
        <f t="shared" si="45"/>
        <v>100</v>
      </c>
      <c r="R361" s="23"/>
      <c r="S361" s="31"/>
      <c r="T361" s="40"/>
      <c r="U361" s="31"/>
      <c r="V361" s="31"/>
      <c r="W361" s="31"/>
      <c r="X361" s="31"/>
      <c r="Y361" s="31"/>
      <c r="Z361" s="31"/>
      <c r="AA361" s="31"/>
      <c r="AB361" s="31"/>
      <c r="AC361" s="31"/>
      <c r="AD361" s="31"/>
      <c r="AE361" s="31"/>
      <c r="AF361" s="31"/>
      <c r="AG361" s="31"/>
      <c r="AH361" s="31"/>
      <c r="AI361" s="31"/>
      <c r="AJ361" s="31"/>
      <c r="AK361" s="31"/>
      <c r="AL361" s="31"/>
      <c r="AM361" s="31"/>
      <c r="AN361" s="31"/>
      <c r="AO361" s="31"/>
    </row>
    <row r="362" spans="1:41" ht="15.75" customHeight="1">
      <c r="A362" s="24" t="s">
        <v>228</v>
      </c>
      <c r="B362" s="89">
        <f>(' Pivot Table for Data Exchange'!$N$403)*100</f>
        <v>87.605562517761754</v>
      </c>
      <c r="C362" s="89">
        <f>(' Pivot Table for Data Exchange'!$N$406)*100</f>
        <v>4.0763048361807552</v>
      </c>
      <c r="D362" s="83">
        <f>SUM(E362:G362)</f>
        <v>8.3181326460574976</v>
      </c>
      <c r="E362" s="89">
        <f>(' Pivot Table for Data Exchange'!$N$409)*100</f>
        <v>4.7393618794993726</v>
      </c>
      <c r="F362" s="89">
        <f>(' Pivot Table for Data Exchange'!$N$412)*100</f>
        <v>2.7786626313162999</v>
      </c>
      <c r="G362" s="91">
        <f>(' Pivot Table for Data Exchange'!$N$415)*100</f>
        <v>0.80010813524182456</v>
      </c>
      <c r="H362" s="89">
        <f>(' Pivot Table for Data Exchange'!$N$418)*100</f>
        <v>0</v>
      </c>
      <c r="I362" s="24"/>
      <c r="J362" s="82"/>
      <c r="K362" s="82"/>
      <c r="L362" s="82"/>
      <c r="M362" s="82"/>
      <c r="N362" s="82"/>
      <c r="O362" s="82"/>
      <c r="P362" s="82"/>
      <c r="Q362" s="23">
        <f t="shared" si="45"/>
        <v>100</v>
      </c>
      <c r="R362" s="23"/>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row>
    <row r="363" spans="1:41" ht="12" customHeight="1">
      <c r="A363" s="24"/>
      <c r="B363" s="89"/>
      <c r="C363" s="89"/>
      <c r="D363" s="83"/>
      <c r="E363" s="89"/>
      <c r="F363" s="89"/>
      <c r="G363" s="91"/>
      <c r="H363" s="89"/>
      <c r="I363" s="24"/>
      <c r="J363" s="82"/>
      <c r="K363" s="82"/>
      <c r="L363" s="82"/>
      <c r="M363" s="82"/>
      <c r="N363" s="82"/>
      <c r="O363" s="82"/>
      <c r="P363" s="82"/>
      <c r="Q363" s="23">
        <f t="shared" si="45"/>
        <v>0</v>
      </c>
      <c r="R363" s="23"/>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row>
    <row r="364" spans="1:41" ht="15.75" customHeight="1">
      <c r="A364" s="24" t="s">
        <v>229</v>
      </c>
      <c r="B364" s="89">
        <f>(' Pivot Table for Data Exchange'!$N$439)*100</f>
        <v>77.480501338714063</v>
      </c>
      <c r="C364" s="89">
        <f>(' Pivot Table for Data Exchange'!$N$442)*100</f>
        <v>0.10476892631252183</v>
      </c>
      <c r="D364" s="83">
        <f>SUM(E364:G364)</f>
        <v>21.902526095223312</v>
      </c>
      <c r="E364" s="89">
        <f>(' Pivot Table for Data Exchange'!$N$445)*100</f>
        <v>14.320360094680067</v>
      </c>
      <c r="F364" s="89">
        <f>(' Pivot Table for Data Exchange'!$N$448)*100</f>
        <v>0.43071669706258975</v>
      </c>
      <c r="G364" s="91">
        <f>(' Pivot Table for Data Exchange'!$N$451)*100</f>
        <v>7.1514493034806561</v>
      </c>
      <c r="H364" s="89">
        <f>(' Pivot Table for Data Exchange'!$N$454)*100</f>
        <v>0.51220363975010663</v>
      </c>
      <c r="I364" s="24"/>
      <c r="J364" s="82"/>
      <c r="K364" s="82"/>
      <c r="L364" s="82"/>
      <c r="M364" s="82"/>
      <c r="N364" s="82"/>
      <c r="O364" s="82"/>
      <c r="P364" s="82"/>
      <c r="Q364" s="23">
        <f t="shared" si="45"/>
        <v>100</v>
      </c>
      <c r="R364" s="23"/>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row>
    <row r="365" spans="1:41" ht="15.75" customHeight="1">
      <c r="A365" s="24" t="s">
        <v>213</v>
      </c>
      <c r="B365" s="89">
        <f>(' Pivot Table for Data Exchange'!$N$475)*100</f>
        <v>53.730900835274952</v>
      </c>
      <c r="C365" s="89">
        <f>(' Pivot Table for Data Exchange'!$N$478)*100</f>
        <v>25.63070399164183</v>
      </c>
      <c r="D365" s="83">
        <f>SUM(E365:G365)</f>
        <v>20.638395173083214</v>
      </c>
      <c r="E365" s="89">
        <f>(' Pivot Table for Data Exchange'!$N$481)*100</f>
        <v>17.624645039775427</v>
      </c>
      <c r="F365" s="89">
        <f>(' Pivot Table for Data Exchange'!$N$484)*100</f>
        <v>1.8292539644380015</v>
      </c>
      <c r="G365" s="91">
        <f>(' Pivot Table for Data Exchange'!$N$487)*100</f>
        <v>1.184496168869785</v>
      </c>
      <c r="H365" s="89">
        <f>(' Pivot Table for Data Exchange'!$N$490)*100</f>
        <v>0</v>
      </c>
      <c r="I365" s="24"/>
      <c r="J365" s="82"/>
      <c r="K365" s="82"/>
      <c r="L365" s="82"/>
      <c r="M365" s="82"/>
      <c r="N365" s="82"/>
      <c r="O365" s="82"/>
      <c r="P365" s="82"/>
      <c r="Q365" s="23">
        <f t="shared" si="45"/>
        <v>100</v>
      </c>
      <c r="R365" s="23"/>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row>
    <row r="366" spans="1:41" ht="15.75" customHeight="1">
      <c r="A366" s="24" t="s">
        <v>230</v>
      </c>
      <c r="B366" s="89">
        <f>(' Pivot Table for Data Exchange'!$N$511)*100</f>
        <v>0</v>
      </c>
      <c r="C366" s="89">
        <f>(' Pivot Table for Data Exchange'!$N$514)*100</f>
        <v>0</v>
      </c>
      <c r="D366" s="83">
        <f>SUM(E366:G366)</f>
        <v>0</v>
      </c>
      <c r="E366" s="89">
        <f>(' Pivot Table for Data Exchange'!$N$517)*100</f>
        <v>0</v>
      </c>
      <c r="F366" s="89">
        <f>(' Pivot Table for Data Exchange'!$N$520)*100</f>
        <v>0</v>
      </c>
      <c r="G366" s="91">
        <f>(' Pivot Table for Data Exchange'!$N$523)*100</f>
        <v>0</v>
      </c>
      <c r="H366" s="89">
        <f>(' Pivot Table for Data Exchange'!$N$526)*100</f>
        <v>0</v>
      </c>
      <c r="I366" s="24"/>
      <c r="J366" s="82"/>
      <c r="K366" s="82"/>
      <c r="L366" s="82"/>
      <c r="M366" s="82"/>
      <c r="N366" s="82"/>
      <c r="O366" s="82"/>
      <c r="P366" s="82"/>
      <c r="Q366" s="23">
        <f t="shared" si="45"/>
        <v>0</v>
      </c>
      <c r="R366" s="23"/>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row>
    <row r="367" spans="1:41" ht="15.75" customHeight="1">
      <c r="A367" s="18" t="s">
        <v>34</v>
      </c>
      <c r="B367" s="92">
        <f>(' Pivot Table for Data Exchange'!$N$547)*100</f>
        <v>69.841890104605028</v>
      </c>
      <c r="C367" s="92">
        <f>(' Pivot Table for Data Exchange'!$N$550)*100</f>
        <v>15.354094024287605</v>
      </c>
      <c r="D367" s="84">
        <f>SUM(E367:G367)</f>
        <v>14.804015871107371</v>
      </c>
      <c r="E367" s="92">
        <f>(' Pivot Table for Data Exchange'!$N$553)*100</f>
        <v>14.804015871107371</v>
      </c>
      <c r="F367" s="92">
        <f>(' Pivot Table for Data Exchange'!$N$556)*100</f>
        <v>0</v>
      </c>
      <c r="G367" s="93">
        <f>(' Pivot Table for Data Exchange'!$N$559)*100</f>
        <v>0</v>
      </c>
      <c r="H367" s="92">
        <f>(' Pivot Table for Data Exchange'!$N$562)*100</f>
        <v>0</v>
      </c>
      <c r="I367" s="24"/>
      <c r="J367" s="82"/>
      <c r="K367" s="82"/>
      <c r="L367" s="82"/>
      <c r="M367" s="82"/>
      <c r="N367" s="82"/>
      <c r="O367" s="82"/>
      <c r="P367" s="82"/>
      <c r="Q367" s="23">
        <f t="shared" si="45"/>
        <v>100</v>
      </c>
      <c r="R367" s="23"/>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row>
    <row r="368" spans="1:41" s="45" customFormat="1" ht="18" customHeight="1">
      <c r="A368" s="85" t="s">
        <v>35</v>
      </c>
      <c r="B368" s="49"/>
      <c r="C368" s="49"/>
      <c r="D368" s="50"/>
      <c r="E368" s="49"/>
      <c r="F368" s="50"/>
      <c r="G368" s="50"/>
      <c r="H368" s="49"/>
      <c r="I368" s="85"/>
      <c r="J368" s="49"/>
      <c r="K368" s="49"/>
      <c r="L368" s="50"/>
      <c r="M368" s="49"/>
      <c r="N368" s="50"/>
      <c r="O368" s="50"/>
      <c r="P368" s="49"/>
      <c r="Q368" s="23">
        <f t="shared" si="45"/>
        <v>0</v>
      </c>
      <c r="R368" s="49"/>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row>
    <row r="369" spans="1:41" s="45" customFormat="1" ht="27.75" customHeight="1">
      <c r="A369" s="599" t="s">
        <v>898</v>
      </c>
      <c r="B369" s="600"/>
      <c r="C369" s="600"/>
      <c r="D369" s="600"/>
      <c r="E369" s="600"/>
      <c r="F369" s="600"/>
      <c r="G369" s="600"/>
      <c r="H369" s="600"/>
      <c r="I369" s="85"/>
      <c r="P369" s="46"/>
      <c r="Q369" s="23">
        <f t="shared" si="45"/>
        <v>0</v>
      </c>
      <c r="R369" s="48"/>
    </row>
    <row r="370" spans="1:41" s="45" customFormat="1" ht="13.5" customHeight="1">
      <c r="A370" s="86"/>
      <c r="H370" s="43"/>
      <c r="I370" s="86"/>
      <c r="Q370" s="23">
        <f t="shared" si="45"/>
        <v>0</v>
      </c>
      <c r="R370" s="48"/>
    </row>
    <row r="371" spans="1:41" s="45" customFormat="1">
      <c r="A371" s="43"/>
      <c r="B371" s="49"/>
      <c r="C371" s="49"/>
      <c r="D371" s="50"/>
      <c r="E371" s="49"/>
      <c r="F371" s="50"/>
      <c r="G371" s="50"/>
      <c r="H371" s="572" t="s">
        <v>889</v>
      </c>
      <c r="I371" s="52"/>
      <c r="J371" s="43"/>
      <c r="K371" s="43"/>
      <c r="L371" s="43"/>
      <c r="M371" s="43"/>
      <c r="N371" s="43"/>
      <c r="O371" s="43"/>
      <c r="P371" s="43"/>
      <c r="Q371" s="23">
        <f t="shared" si="45"/>
        <v>0</v>
      </c>
      <c r="R371" s="49"/>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row>
    <row r="372" spans="1:41" ht="18">
      <c r="A372" s="15" t="s">
        <v>11</v>
      </c>
      <c r="B372" s="16"/>
      <c r="C372" s="16"/>
      <c r="D372" s="16"/>
      <c r="E372" s="16"/>
      <c r="F372" s="16"/>
      <c r="G372" s="16"/>
      <c r="H372" s="30"/>
      <c r="I372" s="29"/>
      <c r="J372" s="24"/>
      <c r="K372" s="24"/>
      <c r="L372" s="24"/>
      <c r="M372" s="24"/>
      <c r="N372" s="24"/>
      <c r="O372" s="24"/>
      <c r="P372" s="24"/>
      <c r="Q372" s="23">
        <f t="shared" si="45"/>
        <v>0</v>
      </c>
    </row>
    <row r="373" spans="1:41">
      <c r="A373" s="58"/>
      <c r="B373" s="17"/>
      <c r="C373" s="17"/>
      <c r="D373" s="17"/>
      <c r="E373" s="17"/>
      <c r="F373" s="17"/>
      <c r="G373" s="17"/>
      <c r="H373" s="27"/>
      <c r="I373" s="29"/>
      <c r="J373" s="24"/>
      <c r="K373" s="24"/>
      <c r="L373" s="24"/>
      <c r="M373" s="24"/>
      <c r="N373" s="24"/>
      <c r="O373" s="24"/>
      <c r="P373" s="24"/>
      <c r="Q373" s="23">
        <f t="shared" si="45"/>
        <v>0</v>
      </c>
    </row>
    <row r="374" spans="1:41" ht="15.75">
      <c r="A374" s="26" t="s">
        <v>23</v>
      </c>
      <c r="B374" s="17"/>
      <c r="C374" s="17"/>
      <c r="D374" s="17"/>
      <c r="E374" s="17"/>
      <c r="F374" s="17"/>
      <c r="G374" s="17"/>
      <c r="H374" s="27"/>
      <c r="I374" s="29"/>
      <c r="J374" s="24"/>
      <c r="K374" s="24"/>
      <c r="L374" s="24"/>
      <c r="M374" s="24"/>
      <c r="N374" s="24"/>
      <c r="O374" s="24"/>
      <c r="P374" s="24"/>
      <c r="Q374" s="23">
        <f t="shared" si="45"/>
        <v>0</v>
      </c>
    </row>
    <row r="375" spans="1:41" ht="15.75">
      <c r="A375" s="26" t="s">
        <v>764</v>
      </c>
      <c r="B375" s="17"/>
      <c r="C375" s="17"/>
      <c r="D375" s="17"/>
      <c r="E375" s="17"/>
      <c r="F375" s="17"/>
      <c r="G375" s="17"/>
      <c r="H375" s="27"/>
      <c r="I375" s="29"/>
      <c r="J375" s="24"/>
      <c r="K375" s="24"/>
      <c r="L375" s="24"/>
      <c r="M375" s="24"/>
      <c r="N375" s="24"/>
      <c r="O375" s="24"/>
      <c r="P375" s="24"/>
      <c r="Q375" s="23">
        <f t="shared" si="45"/>
        <v>0</v>
      </c>
    </row>
    <row r="376" spans="1:41">
      <c r="A376" s="18"/>
      <c r="B376" s="19"/>
      <c r="C376" s="19"/>
      <c r="D376" s="19"/>
      <c r="E376" s="19"/>
      <c r="F376" s="19"/>
      <c r="G376" s="19"/>
      <c r="H376" s="19"/>
      <c r="I376" s="29"/>
      <c r="J376" s="24"/>
      <c r="K376" s="24"/>
      <c r="L376" s="24"/>
      <c r="M376" s="24"/>
      <c r="N376" s="24"/>
      <c r="O376" s="24"/>
      <c r="P376" s="24"/>
      <c r="Q376" s="23">
        <f t="shared" si="45"/>
        <v>0</v>
      </c>
    </row>
    <row r="377" spans="1:41">
      <c r="A377" s="63"/>
      <c r="B377" s="64" t="s">
        <v>215</v>
      </c>
      <c r="C377" s="64"/>
      <c r="D377" s="64"/>
      <c r="E377" s="64"/>
      <c r="F377" s="64"/>
      <c r="G377" s="64"/>
      <c r="H377" s="65"/>
      <c r="I377" s="29"/>
      <c r="J377" s="24"/>
      <c r="K377" s="24"/>
      <c r="L377" s="24"/>
      <c r="M377" s="24"/>
      <c r="N377" s="24"/>
      <c r="O377" s="24"/>
      <c r="P377" s="24"/>
      <c r="Q377" s="23">
        <f t="shared" si="45"/>
        <v>0</v>
      </c>
    </row>
    <row r="378" spans="1:41">
      <c r="A378" s="63"/>
      <c r="B378" s="64" t="s">
        <v>209</v>
      </c>
      <c r="C378" s="64"/>
      <c r="D378" s="597" t="s">
        <v>30</v>
      </c>
      <c r="E378" s="598"/>
      <c r="F378" s="598"/>
      <c r="G378" s="598"/>
      <c r="H378" s="68" t="s">
        <v>196</v>
      </c>
      <c r="I378" s="29"/>
      <c r="J378" s="24"/>
      <c r="K378" s="24"/>
      <c r="L378" s="24"/>
      <c r="M378" s="24"/>
      <c r="N378" s="24"/>
      <c r="O378" s="24"/>
      <c r="P378" s="24"/>
      <c r="Q378" s="23">
        <f t="shared" si="45"/>
        <v>0</v>
      </c>
    </row>
    <row r="379" spans="1:41" ht="36">
      <c r="A379" s="63"/>
      <c r="B379" s="69" t="s">
        <v>22</v>
      </c>
      <c r="C379" s="70" t="s">
        <v>21</v>
      </c>
      <c r="D379" s="71" t="s">
        <v>28</v>
      </c>
      <c r="E379" s="72" t="s">
        <v>195</v>
      </c>
      <c r="F379" s="69" t="s">
        <v>210</v>
      </c>
      <c r="G379" s="73" t="s">
        <v>32</v>
      </c>
      <c r="H379" s="74" t="s">
        <v>31</v>
      </c>
      <c r="I379" s="29"/>
      <c r="J379" s="24"/>
      <c r="K379" s="24"/>
      <c r="L379" s="24"/>
      <c r="M379" s="24"/>
      <c r="N379" s="24"/>
      <c r="O379" s="24"/>
      <c r="P379" s="24"/>
      <c r="Q379" s="23">
        <f t="shared" si="45"/>
        <v>0</v>
      </c>
    </row>
    <row r="380" spans="1:41" ht="15.75" customHeight="1">
      <c r="A380" s="25" t="s">
        <v>220</v>
      </c>
      <c r="B380" s="89">
        <f>(' Pivot Table for Data Exchange'!$S$7)*100</f>
        <v>94.044665012406952</v>
      </c>
      <c r="C380" s="89">
        <f>(' Pivot Table for Data Exchange'!$S$10)*100</f>
        <v>0</v>
      </c>
      <c r="D380" s="83">
        <f>SUM(E380:G380)</f>
        <v>5.9553349875930524</v>
      </c>
      <c r="E380" s="89">
        <f>(' Pivot Table for Data Exchange'!$S$13)*100</f>
        <v>4.3042565375071575</v>
      </c>
      <c r="F380" s="89">
        <f>(' Pivot Table for Data Exchange'!$S$16)*100</f>
        <v>8.5894254628745947E-2</v>
      </c>
      <c r="G380" s="90">
        <f>(' Pivot Table for Data Exchange'!$S$19)*100</f>
        <v>1.5651841954571484</v>
      </c>
      <c r="H380" s="89">
        <f>(' Pivot Table for Data Exchange'!$S$22)*100</f>
        <v>0</v>
      </c>
      <c r="I380" s="24"/>
      <c r="J380" s="82"/>
      <c r="K380" s="82"/>
      <c r="L380" s="82"/>
      <c r="M380" s="82"/>
      <c r="N380" s="82"/>
      <c r="O380" s="82"/>
      <c r="P380" s="82"/>
      <c r="Q380" s="23">
        <f t="shared" si="45"/>
        <v>100</v>
      </c>
      <c r="R380" s="23"/>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row>
    <row r="381" spans="1:41" ht="15.75" customHeight="1">
      <c r="A381" s="24" t="s">
        <v>221</v>
      </c>
      <c r="B381" s="89">
        <f>(' Pivot Table for Data Exchange'!$S$43)*100</f>
        <v>0</v>
      </c>
      <c r="C381" s="89">
        <f>(' Pivot Table for Data Exchange'!$S$46)*100</f>
        <v>0</v>
      </c>
      <c r="D381" s="83">
        <f>SUM(E381:G381)</f>
        <v>0</v>
      </c>
      <c r="E381" s="89">
        <f>(' Pivot Table for Data Exchange'!$S$49)*100</f>
        <v>0</v>
      </c>
      <c r="F381" s="89">
        <f>(' Pivot Table for Data Exchange'!$S$52)*100</f>
        <v>0</v>
      </c>
      <c r="G381" s="91">
        <f>(' Pivot Table for Data Exchange'!$S$55)*100</f>
        <v>0</v>
      </c>
      <c r="H381" s="89">
        <f>(' Pivot Table for Data Exchange'!$S$58)*100</f>
        <v>0</v>
      </c>
      <c r="I381" s="24"/>
      <c r="J381" s="82"/>
      <c r="K381" s="82"/>
      <c r="L381" s="82"/>
      <c r="M381" s="82"/>
      <c r="N381" s="82"/>
      <c r="O381" s="82"/>
      <c r="P381" s="82"/>
      <c r="Q381" s="23">
        <f t="shared" si="45"/>
        <v>0</v>
      </c>
      <c r="R381" s="23"/>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row>
    <row r="382" spans="1:41" ht="15.75" customHeight="1">
      <c r="A382" s="24" t="s">
        <v>222</v>
      </c>
      <c r="B382" s="89">
        <f>(' Pivot Table for Data Exchange'!$S$79)*100</f>
        <v>0</v>
      </c>
      <c r="C382" s="89">
        <f>(' Pivot Table for Data Exchange'!$S$82)*100</f>
        <v>0</v>
      </c>
      <c r="D382" s="83">
        <f>SUM(E382:G382)</f>
        <v>0</v>
      </c>
      <c r="E382" s="89">
        <f>(' Pivot Table for Data Exchange'!$S$85)*100</f>
        <v>0</v>
      </c>
      <c r="F382" s="89">
        <f>(' Pivot Table for Data Exchange'!$S$88)*100</f>
        <v>0</v>
      </c>
      <c r="G382" s="91">
        <f>(' Pivot Table for Data Exchange'!$S$91)*100</f>
        <v>0</v>
      </c>
      <c r="H382" s="89">
        <f>(' Pivot Table for Data Exchange'!$S$94)*100</f>
        <v>0</v>
      </c>
      <c r="I382" s="24"/>
      <c r="J382" s="82"/>
      <c r="K382" s="82"/>
      <c r="L382" s="82"/>
      <c r="M382" s="82"/>
      <c r="N382" s="82"/>
      <c r="O382" s="82"/>
      <c r="P382" s="82"/>
      <c r="Q382" s="23">
        <f t="shared" si="45"/>
        <v>0</v>
      </c>
      <c r="R382" s="23"/>
      <c r="S382" s="31"/>
      <c r="T382" s="40"/>
      <c r="U382" s="31"/>
      <c r="V382" s="31"/>
      <c r="W382" s="31"/>
      <c r="X382" s="31"/>
      <c r="Y382" s="31"/>
      <c r="Z382" s="31"/>
      <c r="AA382" s="31"/>
      <c r="AB382" s="31"/>
      <c r="AC382" s="31"/>
      <c r="AD382" s="31"/>
      <c r="AE382" s="31"/>
      <c r="AF382" s="31"/>
      <c r="AG382" s="31"/>
      <c r="AH382" s="31"/>
      <c r="AI382" s="31"/>
      <c r="AJ382" s="31"/>
      <c r="AK382" s="31"/>
      <c r="AL382" s="31"/>
      <c r="AM382" s="31"/>
      <c r="AN382" s="31"/>
      <c r="AO382" s="31"/>
    </row>
    <row r="383" spans="1:41" ht="15.75" customHeight="1">
      <c r="A383" s="586" t="s">
        <v>223</v>
      </c>
      <c r="B383" s="89">
        <f>(' Pivot Table for Data Exchange'!$S$115)*100</f>
        <v>0</v>
      </c>
      <c r="C383" s="89">
        <f>(' Pivot Table for Data Exchange'!$S$118)*100</f>
        <v>0</v>
      </c>
      <c r="D383" s="83">
        <f>SUM(E383:G383)</f>
        <v>0</v>
      </c>
      <c r="E383" s="89">
        <f>(' Pivot Table for Data Exchange'!$S$121)*100</f>
        <v>0</v>
      </c>
      <c r="F383" s="89">
        <f>(' Pivot Table for Data Exchange'!$S$124)*100</f>
        <v>0</v>
      </c>
      <c r="G383" s="91">
        <f>(' Pivot Table for Data Exchange'!$S$127)*100</f>
        <v>0</v>
      </c>
      <c r="H383" s="89">
        <f>(' Pivot Table for Data Exchange'!$S$130)*100</f>
        <v>0</v>
      </c>
      <c r="I383" s="24"/>
      <c r="J383" s="82"/>
      <c r="K383" s="82"/>
      <c r="L383" s="82"/>
      <c r="M383" s="82"/>
      <c r="N383" s="82"/>
      <c r="O383" s="82"/>
      <c r="P383" s="82"/>
      <c r="Q383" s="23">
        <f t="shared" si="45"/>
        <v>0</v>
      </c>
      <c r="R383" s="23"/>
      <c r="S383" s="31"/>
      <c r="U383" s="31"/>
      <c r="V383" s="31"/>
      <c r="W383" s="31"/>
      <c r="X383" s="31"/>
      <c r="Y383" s="31"/>
      <c r="Z383" s="31"/>
      <c r="AA383" s="31"/>
      <c r="AB383" s="31"/>
      <c r="AC383" s="31"/>
      <c r="AD383" s="31"/>
      <c r="AE383" s="31"/>
      <c r="AF383" s="31"/>
      <c r="AG383" s="31"/>
      <c r="AH383" s="31"/>
      <c r="AI383" s="31"/>
      <c r="AJ383" s="31"/>
      <c r="AK383" s="31"/>
      <c r="AL383" s="31"/>
      <c r="AM383" s="31"/>
      <c r="AN383" s="31"/>
      <c r="AO383" s="31"/>
    </row>
    <row r="384" spans="1:41" ht="15.75" customHeight="1">
      <c r="A384" s="24"/>
      <c r="B384" s="89"/>
      <c r="C384" s="89"/>
      <c r="D384" s="83"/>
      <c r="E384" s="89"/>
      <c r="F384" s="89"/>
      <c r="G384" s="91"/>
      <c r="H384" s="89"/>
      <c r="I384" s="24"/>
      <c r="J384" s="82"/>
      <c r="K384" s="82"/>
      <c r="L384" s="82"/>
      <c r="M384" s="82"/>
      <c r="N384" s="82"/>
      <c r="O384" s="82"/>
      <c r="P384" s="82"/>
      <c r="Q384" s="23">
        <f t="shared" si="45"/>
        <v>0</v>
      </c>
      <c r="R384" s="23"/>
      <c r="S384" s="31"/>
      <c r="U384" s="31"/>
      <c r="V384" s="31"/>
      <c r="W384" s="31"/>
      <c r="X384" s="31"/>
      <c r="Y384" s="31"/>
      <c r="Z384" s="31"/>
      <c r="AA384" s="31"/>
      <c r="AB384" s="31"/>
      <c r="AC384" s="31"/>
      <c r="AD384" s="31"/>
      <c r="AE384" s="31"/>
      <c r="AF384" s="31"/>
      <c r="AG384" s="31"/>
      <c r="AH384" s="31"/>
      <c r="AI384" s="31"/>
      <c r="AJ384" s="31"/>
      <c r="AK384" s="31"/>
      <c r="AL384" s="31"/>
      <c r="AM384" s="31"/>
      <c r="AN384" s="31"/>
      <c r="AO384" s="31"/>
    </row>
    <row r="385" spans="1:41" ht="15.75" customHeight="1">
      <c r="A385" s="24" t="s">
        <v>224</v>
      </c>
      <c r="B385" s="89">
        <f>(' Pivot Table for Data Exchange'!$S$151)*100</f>
        <v>73.997066940633246</v>
      </c>
      <c r="C385" s="89">
        <f>(' Pivot Table for Data Exchange'!$S$154)*100</f>
        <v>0</v>
      </c>
      <c r="D385" s="83">
        <f>SUM(E385:G385)</f>
        <v>26.002933059366747</v>
      </c>
      <c r="E385" s="89">
        <f>(' Pivot Table for Data Exchange'!$S$157)*100</f>
        <v>25.682035720188079</v>
      </c>
      <c r="F385" s="89">
        <f>(' Pivot Table for Data Exchange'!$S$160)*100</f>
        <v>0.31902559145540416</v>
      </c>
      <c r="G385" s="582">
        <f>(' Pivot Table for Data Exchange'!$S$163)*100</f>
        <v>1.87174772326437E-3</v>
      </c>
      <c r="H385" s="89">
        <f>(' Pivot Table for Data Exchange'!$S$166)*100</f>
        <v>0</v>
      </c>
      <c r="I385" s="24"/>
      <c r="J385" s="82"/>
      <c r="K385" s="82"/>
      <c r="L385" s="82"/>
      <c r="M385" s="82"/>
      <c r="N385" s="82"/>
      <c r="O385" s="82"/>
      <c r="P385" s="82"/>
      <c r="Q385" s="23">
        <f t="shared" si="45"/>
        <v>100</v>
      </c>
      <c r="R385" s="23"/>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row>
    <row r="386" spans="1:41" ht="15.75" customHeight="1">
      <c r="A386" s="24" t="s">
        <v>225</v>
      </c>
      <c r="B386" s="89">
        <f>(' Pivot Table for Data Exchange'!$S$187)*100</f>
        <v>95.998224468194081</v>
      </c>
      <c r="C386" s="89">
        <f>(' Pivot Table for Data Exchange'!$S$190)*100</f>
        <v>0.66240994297811318</v>
      </c>
      <c r="D386" s="83">
        <f>SUM(E386:G386)</f>
        <v>3.3393655888278078</v>
      </c>
      <c r="E386" s="89">
        <f>(' Pivot Table for Data Exchange'!$S$193)*100</f>
        <v>3.3393655888278078</v>
      </c>
      <c r="F386" s="89">
        <f>(' Pivot Table for Data Exchange'!$S$196)*100</f>
        <v>0</v>
      </c>
      <c r="G386" s="91">
        <f>(' Pivot Table for Data Exchange'!$S$199)*100</f>
        <v>0</v>
      </c>
      <c r="H386" s="89">
        <f>(' Pivot Table for Data Exchange'!$S$202)*100</f>
        <v>0</v>
      </c>
      <c r="I386" s="155"/>
      <c r="J386" s="82"/>
      <c r="K386" s="82"/>
      <c r="L386" s="82"/>
      <c r="M386" s="82"/>
      <c r="N386" s="82"/>
      <c r="O386" s="82"/>
      <c r="P386" s="82"/>
      <c r="Q386" s="23">
        <f t="shared" si="45"/>
        <v>100</v>
      </c>
      <c r="R386" s="23"/>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row>
    <row r="387" spans="1:41" ht="15.75" customHeight="1">
      <c r="A387" s="24" t="s">
        <v>226</v>
      </c>
      <c r="B387" s="31">
        <f>(' Pivot Table for Data Exchange'!$S$223)*100</f>
        <v>100</v>
      </c>
      <c r="C387" s="89">
        <f>(' Pivot Table for Data Exchange'!$S$226)*100</f>
        <v>0</v>
      </c>
      <c r="D387" s="83">
        <f>SUM(E387:G387)</f>
        <v>0</v>
      </c>
      <c r="E387" s="89">
        <f>(' Pivot Table for Data Exchange'!$S$229)*100</f>
        <v>0</v>
      </c>
      <c r="F387" s="89">
        <f>(' Pivot Table for Data Exchange'!$S$232)*100</f>
        <v>0</v>
      </c>
      <c r="G387" s="91">
        <f>(' Pivot Table for Data Exchange'!$S$235)*100</f>
        <v>0</v>
      </c>
      <c r="H387" s="89">
        <f>(' Pivot Table for Data Exchange'!$S$238)*100</f>
        <v>0</v>
      </c>
      <c r="I387" s="154"/>
      <c r="J387" s="82"/>
      <c r="K387" s="82"/>
      <c r="L387" s="82"/>
      <c r="M387" s="82"/>
      <c r="N387" s="82"/>
      <c r="O387" s="82"/>
      <c r="P387" s="82"/>
      <c r="Q387" s="23">
        <f>SUM(I387,C387,D387,H387)</f>
        <v>0</v>
      </c>
      <c r="R387" s="23"/>
      <c r="S387" s="31"/>
      <c r="T387" s="40"/>
      <c r="U387" s="31"/>
      <c r="V387" s="31"/>
      <c r="W387" s="31"/>
      <c r="X387" s="31"/>
      <c r="Y387" s="31"/>
      <c r="Z387" s="31"/>
      <c r="AA387" s="31"/>
      <c r="AB387" s="31"/>
      <c r="AC387" s="31"/>
      <c r="AD387" s="31"/>
      <c r="AE387" s="31"/>
      <c r="AF387" s="31"/>
      <c r="AG387" s="31"/>
      <c r="AH387" s="31"/>
      <c r="AI387" s="31"/>
      <c r="AJ387" s="31"/>
      <c r="AK387" s="31"/>
      <c r="AL387" s="31"/>
      <c r="AM387" s="31"/>
      <c r="AN387" s="31"/>
      <c r="AO387" s="31"/>
    </row>
    <row r="388" spans="1:41" ht="15.75" customHeight="1">
      <c r="A388" s="24" t="s">
        <v>227</v>
      </c>
      <c r="B388" s="89">
        <f>(' Pivot Table for Data Exchange'!$S$259)*100</f>
        <v>0</v>
      </c>
      <c r="C388" s="89">
        <f>(' Pivot Table for Data Exchange'!$S$262)*100</f>
        <v>0</v>
      </c>
      <c r="D388" s="83">
        <f>SUM(E388:G388)</f>
        <v>0</v>
      </c>
      <c r="E388" s="89">
        <f>(' Pivot Table for Data Exchange'!$S$265)*100</f>
        <v>0</v>
      </c>
      <c r="F388" s="89">
        <f>(' Pivot Table for Data Exchange'!$S$268)*100</f>
        <v>0</v>
      </c>
      <c r="G388" s="91">
        <f>(' Pivot Table for Data Exchange'!$S$271)*100</f>
        <v>0</v>
      </c>
      <c r="H388" s="89">
        <f>(' Pivot Table for Data Exchange'!$S$274)*100</f>
        <v>0</v>
      </c>
      <c r="I388" s="24"/>
      <c r="J388" s="82"/>
      <c r="K388" s="82"/>
      <c r="L388" s="82"/>
      <c r="M388" s="82"/>
      <c r="N388" s="82"/>
      <c r="O388" s="82"/>
      <c r="P388" s="82"/>
      <c r="Q388" s="23">
        <f t="shared" si="45"/>
        <v>0</v>
      </c>
      <c r="R388" s="23"/>
      <c r="S388" s="31"/>
      <c r="U388" s="31"/>
      <c r="V388" s="31"/>
      <c r="W388" s="31"/>
      <c r="X388" s="31"/>
      <c r="Y388" s="31"/>
      <c r="Z388" s="31"/>
      <c r="AA388" s="31"/>
      <c r="AB388" s="31"/>
      <c r="AC388" s="31"/>
      <c r="AD388" s="31"/>
      <c r="AE388" s="31"/>
      <c r="AF388" s="31"/>
      <c r="AG388" s="31"/>
      <c r="AH388" s="31"/>
      <c r="AI388" s="31"/>
      <c r="AJ388" s="31"/>
      <c r="AK388" s="31"/>
      <c r="AL388" s="31"/>
      <c r="AM388" s="31"/>
      <c r="AN388" s="31"/>
      <c r="AO388" s="31"/>
    </row>
    <row r="389" spans="1:41" ht="15.75" customHeight="1">
      <c r="A389" s="24"/>
      <c r="B389" s="89"/>
      <c r="C389" s="89"/>
      <c r="D389" s="83"/>
      <c r="E389" s="89"/>
      <c r="F389" s="89"/>
      <c r="G389" s="91"/>
      <c r="H389" s="89"/>
      <c r="I389" s="24"/>
      <c r="J389" s="82"/>
      <c r="K389" s="82"/>
      <c r="L389" s="82"/>
      <c r="M389" s="82"/>
      <c r="N389" s="82"/>
      <c r="O389" s="82"/>
      <c r="P389" s="82"/>
      <c r="Q389" s="23">
        <f t="shared" si="45"/>
        <v>0</v>
      </c>
      <c r="R389" s="23"/>
      <c r="S389" s="31"/>
      <c r="U389" s="31"/>
      <c r="V389" s="31"/>
      <c r="W389" s="31"/>
      <c r="X389" s="31"/>
      <c r="Y389" s="31"/>
      <c r="Z389" s="31"/>
      <c r="AA389" s="31"/>
      <c r="AB389" s="31"/>
      <c r="AC389" s="31"/>
      <c r="AD389" s="31"/>
      <c r="AE389" s="31"/>
      <c r="AF389" s="31"/>
      <c r="AG389" s="31"/>
      <c r="AH389" s="31"/>
      <c r="AI389" s="31"/>
      <c r="AJ389" s="31"/>
      <c r="AK389" s="31"/>
      <c r="AL389" s="31"/>
      <c r="AM389" s="31"/>
      <c r="AN389" s="31"/>
      <c r="AO389" s="31"/>
    </row>
    <row r="390" spans="1:41" ht="15.75" customHeight="1">
      <c r="A390" s="586" t="s">
        <v>204</v>
      </c>
      <c r="B390" s="89">
        <f>(' Pivot Table for Data Exchange'!$S$295)*100</f>
        <v>0</v>
      </c>
      <c r="C390" s="89">
        <f>(' Pivot Table for Data Exchange'!$S$298)*100</f>
        <v>0</v>
      </c>
      <c r="D390" s="83">
        <f>SUM(E390:G390)</f>
        <v>0</v>
      </c>
      <c r="E390" s="89">
        <f>(' Pivot Table for Data Exchange'!$S$301)*100</f>
        <v>0</v>
      </c>
      <c r="F390" s="89">
        <f>(' Pivot Table for Data Exchange'!$S$304)*100</f>
        <v>0</v>
      </c>
      <c r="G390" s="91">
        <f>(' Pivot Table for Data Exchange'!$S$307)*100</f>
        <v>0</v>
      </c>
      <c r="H390" s="89">
        <f>(' Pivot Table for Data Exchange'!$S$310)*100</f>
        <v>0</v>
      </c>
      <c r="I390" s="24"/>
      <c r="J390" s="82"/>
      <c r="K390" s="82"/>
      <c r="L390" s="82"/>
      <c r="M390" s="82"/>
      <c r="N390" s="82"/>
      <c r="O390" s="82"/>
      <c r="P390" s="82"/>
      <c r="Q390" s="23">
        <f t="shared" si="45"/>
        <v>0</v>
      </c>
      <c r="R390" s="23"/>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row>
    <row r="391" spans="1:41" ht="15.75" customHeight="1">
      <c r="A391" s="24" t="s">
        <v>212</v>
      </c>
      <c r="B391" s="89">
        <f>(' Pivot Table for Data Exchange'!$S$331)*100</f>
        <v>0</v>
      </c>
      <c r="C391" s="89">
        <f>(' Pivot Table for Data Exchange'!$S$334)*100</f>
        <v>0</v>
      </c>
      <c r="D391" s="83">
        <f>SUM(E391:G391)</f>
        <v>0</v>
      </c>
      <c r="E391" s="89">
        <f>(' Pivot Table for Data Exchange'!$S$337)*100</f>
        <v>0</v>
      </c>
      <c r="F391" s="89">
        <f>(' Pivot Table for Data Exchange'!$S$340)*100</f>
        <v>0</v>
      </c>
      <c r="G391" s="91">
        <f>(' Pivot Table for Data Exchange'!$S$343)*100</f>
        <v>0</v>
      </c>
      <c r="H391" s="89">
        <f>(' Pivot Table for Data Exchange'!$S$346)*100</f>
        <v>0</v>
      </c>
      <c r="I391" s="24"/>
      <c r="J391" s="82"/>
      <c r="K391" s="82"/>
      <c r="L391" s="82"/>
      <c r="M391" s="82"/>
      <c r="N391" s="82"/>
      <c r="O391" s="82"/>
      <c r="P391" s="82"/>
      <c r="Q391" s="23">
        <f t="shared" si="45"/>
        <v>0</v>
      </c>
      <c r="R391" s="23"/>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row>
    <row r="392" spans="1:41" ht="15.75" customHeight="1">
      <c r="A392" s="24" t="s">
        <v>205</v>
      </c>
      <c r="B392" s="89">
        <f>(' Pivot Table for Data Exchange'!$S$367)*100</f>
        <v>0</v>
      </c>
      <c r="C392" s="89">
        <f>(' Pivot Table for Data Exchange'!$S$370)*100</f>
        <v>0</v>
      </c>
      <c r="D392" s="83">
        <f>SUM(E392:G392)</f>
        <v>0</v>
      </c>
      <c r="E392" s="89">
        <f>(' Pivot Table for Data Exchange'!$S$373)*100</f>
        <v>0</v>
      </c>
      <c r="F392" s="89">
        <f>(' Pivot Table for Data Exchange'!$S$376)*100</f>
        <v>0</v>
      </c>
      <c r="G392" s="91">
        <f>(' Pivot Table for Data Exchange'!$S$379)*100</f>
        <v>0</v>
      </c>
      <c r="H392" s="89">
        <f>(' Pivot Table for Data Exchange'!$S$382)*100</f>
        <v>0</v>
      </c>
      <c r="I392" s="24"/>
      <c r="J392" s="82"/>
      <c r="K392" s="82"/>
      <c r="L392" s="82"/>
      <c r="M392" s="82"/>
      <c r="N392" s="82"/>
      <c r="O392" s="82"/>
      <c r="P392" s="82"/>
      <c r="Q392" s="23">
        <f t="shared" si="45"/>
        <v>0</v>
      </c>
      <c r="R392" s="23"/>
      <c r="S392" s="31"/>
      <c r="T392" s="40"/>
      <c r="U392" s="31"/>
      <c r="V392" s="31"/>
      <c r="W392" s="31"/>
      <c r="X392" s="31"/>
      <c r="Y392" s="31"/>
      <c r="Z392" s="31"/>
      <c r="AA392" s="31"/>
      <c r="AB392" s="31"/>
      <c r="AC392" s="31"/>
      <c r="AD392" s="31"/>
      <c r="AE392" s="31"/>
      <c r="AF392" s="31"/>
      <c r="AG392" s="31"/>
      <c r="AH392" s="31"/>
      <c r="AI392" s="31"/>
      <c r="AJ392" s="31"/>
      <c r="AK392" s="31"/>
      <c r="AL392" s="31"/>
      <c r="AM392" s="31"/>
      <c r="AN392" s="31"/>
      <c r="AO392" s="31"/>
    </row>
    <row r="393" spans="1:41" ht="15.75" customHeight="1">
      <c r="A393" s="24" t="s">
        <v>228</v>
      </c>
      <c r="B393" s="89">
        <f>(' Pivot Table for Data Exchange'!$S$403)*100</f>
        <v>0</v>
      </c>
      <c r="C393" s="89">
        <f>(' Pivot Table for Data Exchange'!$S$406)*100</f>
        <v>0</v>
      </c>
      <c r="D393" s="83">
        <f>SUM(E393:G393)</f>
        <v>0</v>
      </c>
      <c r="E393" s="89">
        <f>(' Pivot Table for Data Exchange'!$S$409)*100</f>
        <v>0</v>
      </c>
      <c r="F393" s="89">
        <f>(' Pivot Table for Data Exchange'!$S$412)*100</f>
        <v>0</v>
      </c>
      <c r="G393" s="91">
        <f>(' Pivot Table for Data Exchange'!$S$415)*100</f>
        <v>0</v>
      </c>
      <c r="H393" s="89">
        <f>(' Pivot Table for Data Exchange'!$S$418)*100</f>
        <v>0</v>
      </c>
      <c r="I393" s="24"/>
      <c r="J393" s="82"/>
      <c r="K393" s="82"/>
      <c r="L393" s="82"/>
      <c r="M393" s="82"/>
      <c r="N393" s="82"/>
      <c r="O393" s="82"/>
      <c r="P393" s="82"/>
      <c r="Q393" s="23">
        <f t="shared" si="45"/>
        <v>0</v>
      </c>
      <c r="R393" s="23"/>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row>
    <row r="394" spans="1:41" ht="15.75" customHeight="1">
      <c r="A394" s="24"/>
      <c r="B394" s="89"/>
      <c r="C394" s="89"/>
      <c r="D394" s="83"/>
      <c r="E394" s="89"/>
      <c r="F394" s="89"/>
      <c r="G394" s="91"/>
      <c r="H394" s="89"/>
      <c r="I394" s="24"/>
      <c r="J394" s="82"/>
      <c r="K394" s="82"/>
      <c r="L394" s="82"/>
      <c r="M394" s="82"/>
      <c r="N394" s="82"/>
      <c r="O394" s="82"/>
      <c r="P394" s="82"/>
      <c r="Q394" s="23">
        <f t="shared" ref="Q394:Q457" si="46">SUM(B394,C394,D394,H394)</f>
        <v>0</v>
      </c>
      <c r="R394" s="23"/>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row>
    <row r="395" spans="1:41" ht="15.75" customHeight="1">
      <c r="A395" s="24" t="s">
        <v>229</v>
      </c>
      <c r="B395" s="89">
        <f>(' Pivot Table for Data Exchange'!$S$439)*100</f>
        <v>100</v>
      </c>
      <c r="C395" s="89">
        <f>(' Pivot Table for Data Exchange'!$S$442)*100</f>
        <v>0</v>
      </c>
      <c r="D395" s="83">
        <f>SUM(E395:G395)</f>
        <v>0</v>
      </c>
      <c r="E395" s="89">
        <f>(' Pivot Table for Data Exchange'!$S$445)*100</f>
        <v>0</v>
      </c>
      <c r="F395" s="89">
        <f>(' Pivot Table for Data Exchange'!$S$448)*100</f>
        <v>0</v>
      </c>
      <c r="G395" s="91">
        <f>(' Pivot Table for Data Exchange'!$S$451)*100</f>
        <v>0</v>
      </c>
      <c r="H395" s="89">
        <f>(' Pivot Table for Data Exchange'!$S$454)*100</f>
        <v>0</v>
      </c>
      <c r="I395" s="24"/>
      <c r="J395" s="82"/>
      <c r="K395" s="82"/>
      <c r="L395" s="82"/>
      <c r="M395" s="82"/>
      <c r="N395" s="82"/>
      <c r="O395" s="82"/>
      <c r="P395" s="82"/>
      <c r="Q395" s="23">
        <f t="shared" si="46"/>
        <v>100</v>
      </c>
      <c r="R395" s="23"/>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row>
    <row r="396" spans="1:41" ht="15.75" customHeight="1">
      <c r="A396" s="24" t="s">
        <v>213</v>
      </c>
      <c r="B396" s="89">
        <f>(' Pivot Table for Data Exchange'!$S$475)*100</f>
        <v>0</v>
      </c>
      <c r="C396" s="89">
        <f>(' Pivot Table for Data Exchange'!$S$478)*100</f>
        <v>0</v>
      </c>
      <c r="D396" s="83">
        <f>SUM(E396:G396)</f>
        <v>0</v>
      </c>
      <c r="E396" s="89">
        <f>(' Pivot Table for Data Exchange'!$S$481)*100</f>
        <v>0</v>
      </c>
      <c r="F396" s="89">
        <f>(' Pivot Table for Data Exchange'!$S$484)*100</f>
        <v>0</v>
      </c>
      <c r="G396" s="91">
        <f>(' Pivot Table for Data Exchange'!$S$487)*100</f>
        <v>0</v>
      </c>
      <c r="H396" s="89">
        <f>(' Pivot Table for Data Exchange'!$S$490)*100</f>
        <v>0</v>
      </c>
      <c r="I396" s="24"/>
      <c r="J396" s="82"/>
      <c r="K396" s="82"/>
      <c r="L396" s="82"/>
      <c r="M396" s="82"/>
      <c r="N396" s="82"/>
      <c r="O396" s="82"/>
      <c r="P396" s="82"/>
      <c r="Q396" s="23">
        <f t="shared" si="46"/>
        <v>0</v>
      </c>
      <c r="R396" s="23"/>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row>
    <row r="397" spans="1:41" ht="15.75" customHeight="1">
      <c r="A397" s="24" t="s">
        <v>230</v>
      </c>
      <c r="B397" s="89">
        <f>(' Pivot Table for Data Exchange'!$S$511)*100</f>
        <v>0</v>
      </c>
      <c r="C397" s="89">
        <f>(' Pivot Table for Data Exchange'!$S$514)*100</f>
        <v>0</v>
      </c>
      <c r="D397" s="83">
        <f>SUM(E397:G397)</f>
        <v>0</v>
      </c>
      <c r="E397" s="89">
        <f>(' Pivot Table for Data Exchange'!$S$517)*100</f>
        <v>0</v>
      </c>
      <c r="F397" s="89">
        <f>(' Pivot Table for Data Exchange'!$S$520)*100</f>
        <v>0</v>
      </c>
      <c r="G397" s="91">
        <f>(' Pivot Table for Data Exchange'!$S$523)*100</f>
        <v>0</v>
      </c>
      <c r="H397" s="89">
        <f>(' Pivot Table for Data Exchange'!$S$526)*100</f>
        <v>0</v>
      </c>
      <c r="I397" s="24"/>
      <c r="J397" s="82"/>
      <c r="K397" s="82"/>
      <c r="L397" s="82"/>
      <c r="M397" s="82"/>
      <c r="N397" s="82"/>
      <c r="O397" s="82"/>
      <c r="P397" s="82"/>
      <c r="Q397" s="23">
        <f t="shared" si="46"/>
        <v>0</v>
      </c>
      <c r="R397" s="23"/>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row>
    <row r="398" spans="1:41" ht="15.75" customHeight="1">
      <c r="A398" s="18" t="s">
        <v>206</v>
      </c>
      <c r="B398" s="92">
        <f>(' Pivot Table for Data Exchange'!$S$547)*100</f>
        <v>0</v>
      </c>
      <c r="C398" s="92">
        <f>(' Pivot Table for Data Exchange'!$S$550)*100</f>
        <v>0</v>
      </c>
      <c r="D398" s="84">
        <f>SUM(E398:G398)</f>
        <v>0</v>
      </c>
      <c r="E398" s="92">
        <f>(' Pivot Table for Data Exchange'!$S$553)*100</f>
        <v>0</v>
      </c>
      <c r="F398" s="92">
        <f>(' Pivot Table for Data Exchange'!$S$556)*100</f>
        <v>0</v>
      </c>
      <c r="G398" s="93">
        <f>(' Pivot Table for Data Exchange'!$S$559)*100</f>
        <v>0</v>
      </c>
      <c r="H398" s="92">
        <f>(' Pivot Table for Data Exchange'!$S$562)*100</f>
        <v>0</v>
      </c>
      <c r="I398" s="24"/>
      <c r="J398" s="82"/>
      <c r="K398" s="82"/>
      <c r="L398" s="82"/>
      <c r="M398" s="82"/>
      <c r="N398" s="82"/>
      <c r="O398" s="82"/>
      <c r="P398" s="82"/>
      <c r="Q398" s="23">
        <f t="shared" si="46"/>
        <v>0</v>
      </c>
      <c r="R398" s="23"/>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row>
    <row r="399" spans="1:41" s="45" customFormat="1" ht="18" customHeight="1">
      <c r="A399" s="85" t="s">
        <v>35</v>
      </c>
      <c r="B399" s="49"/>
      <c r="C399" s="49"/>
      <c r="D399" s="50"/>
      <c r="E399" s="49"/>
      <c r="F399" s="50"/>
      <c r="G399" s="50"/>
      <c r="H399" s="49"/>
      <c r="I399" s="85"/>
      <c r="J399" s="49"/>
      <c r="K399" s="49"/>
      <c r="L399" s="50"/>
      <c r="M399" s="49"/>
      <c r="N399" s="50"/>
      <c r="O399" s="50"/>
      <c r="P399" s="49"/>
      <c r="Q399" s="23">
        <f t="shared" si="46"/>
        <v>0</v>
      </c>
      <c r="R399" s="49"/>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row>
    <row r="400" spans="1:41" s="45" customFormat="1" ht="18" customHeight="1">
      <c r="A400" s="85"/>
      <c r="B400" s="49"/>
      <c r="C400" s="49"/>
      <c r="D400" s="50"/>
      <c r="E400" s="49"/>
      <c r="F400" s="50"/>
      <c r="G400" s="50"/>
      <c r="H400" s="49"/>
      <c r="I400" s="85"/>
      <c r="J400" s="49"/>
      <c r="K400" s="49"/>
      <c r="L400" s="50"/>
      <c r="M400" s="49"/>
      <c r="N400" s="50"/>
      <c r="O400" s="50"/>
      <c r="P400" s="49"/>
      <c r="Q400" s="23">
        <f t="shared" si="46"/>
        <v>0</v>
      </c>
      <c r="R400" s="49"/>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row>
    <row r="401" spans="1:41" s="24" customFormat="1" ht="15.75" customHeight="1">
      <c r="B401" s="77"/>
      <c r="C401" s="77"/>
      <c r="D401" s="77"/>
      <c r="E401" s="77"/>
      <c r="F401" s="77"/>
      <c r="G401" s="77"/>
      <c r="H401" s="572" t="s">
        <v>889</v>
      </c>
      <c r="J401" s="82"/>
      <c r="K401" s="82"/>
      <c r="L401" s="82"/>
      <c r="M401" s="82"/>
      <c r="N401" s="82"/>
      <c r="O401" s="82"/>
      <c r="P401" s="82"/>
      <c r="Q401" s="23">
        <f t="shared" si="46"/>
        <v>0</v>
      </c>
      <c r="R401" s="23"/>
      <c r="S401" s="87"/>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row>
    <row r="402" spans="1:41" ht="18">
      <c r="A402" s="15" t="s">
        <v>12</v>
      </c>
      <c r="B402" s="16"/>
      <c r="C402" s="16"/>
      <c r="D402" s="16"/>
      <c r="E402" s="16"/>
      <c r="F402" s="16"/>
      <c r="G402" s="16"/>
      <c r="H402" s="30"/>
      <c r="I402" s="29"/>
      <c r="J402" s="24"/>
      <c r="K402" s="24"/>
      <c r="L402" s="24"/>
      <c r="M402" s="24"/>
      <c r="N402" s="24"/>
      <c r="O402" s="24"/>
      <c r="P402" s="24"/>
      <c r="Q402" s="23">
        <f t="shared" si="46"/>
        <v>0</v>
      </c>
    </row>
    <row r="403" spans="1:41">
      <c r="A403" s="58"/>
      <c r="B403" s="17"/>
      <c r="C403" s="17"/>
      <c r="D403" s="17"/>
      <c r="E403" s="17"/>
      <c r="F403" s="17"/>
      <c r="G403" s="17"/>
      <c r="H403" s="27"/>
      <c r="I403" s="29"/>
      <c r="J403" s="24"/>
      <c r="K403" s="24"/>
      <c r="L403" s="24"/>
      <c r="M403" s="24"/>
      <c r="N403" s="24"/>
      <c r="O403" s="24"/>
      <c r="P403" s="24"/>
      <c r="Q403" s="23">
        <f t="shared" si="46"/>
        <v>0</v>
      </c>
    </row>
    <row r="404" spans="1:41" ht="15.75">
      <c r="A404" s="26" t="s">
        <v>23</v>
      </c>
      <c r="B404" s="17"/>
      <c r="C404" s="17"/>
      <c r="D404" s="17"/>
      <c r="E404" s="17"/>
      <c r="F404" s="17"/>
      <c r="G404" s="17"/>
      <c r="H404" s="27"/>
      <c r="I404" s="29"/>
      <c r="J404" s="24"/>
      <c r="K404" s="24"/>
      <c r="L404" s="24"/>
      <c r="M404" s="24"/>
      <c r="N404" s="24"/>
      <c r="O404" s="24"/>
      <c r="P404" s="24"/>
      <c r="Q404" s="23">
        <f t="shared" si="46"/>
        <v>0</v>
      </c>
    </row>
    <row r="405" spans="1:41" ht="15.75">
      <c r="A405" s="26" t="s">
        <v>765</v>
      </c>
      <c r="B405" s="17"/>
      <c r="C405" s="17"/>
      <c r="D405" s="17"/>
      <c r="E405" s="17"/>
      <c r="F405" s="17"/>
      <c r="G405" s="17"/>
      <c r="H405" s="27"/>
      <c r="I405" s="29"/>
      <c r="J405" s="24"/>
      <c r="K405" s="24"/>
      <c r="L405" s="24"/>
      <c r="M405" s="24"/>
      <c r="N405" s="24"/>
      <c r="O405" s="24"/>
      <c r="P405" s="24"/>
      <c r="Q405" s="23">
        <f t="shared" si="46"/>
        <v>0</v>
      </c>
    </row>
    <row r="406" spans="1:41">
      <c r="A406" s="18"/>
      <c r="B406" s="19"/>
      <c r="C406" s="19"/>
      <c r="D406" s="19"/>
      <c r="E406" s="19"/>
      <c r="F406" s="19"/>
      <c r="G406" s="19"/>
      <c r="H406" s="19"/>
      <c r="I406" s="29"/>
      <c r="J406" s="24"/>
      <c r="K406" s="24"/>
      <c r="L406" s="24"/>
      <c r="M406" s="24"/>
      <c r="N406" s="24"/>
      <c r="O406" s="24"/>
      <c r="P406" s="24"/>
      <c r="Q406" s="23">
        <f t="shared" si="46"/>
        <v>0</v>
      </c>
    </row>
    <row r="407" spans="1:41">
      <c r="A407" s="63"/>
      <c r="B407" s="64" t="s">
        <v>215</v>
      </c>
      <c r="C407" s="64"/>
      <c r="D407" s="64"/>
      <c r="E407" s="64"/>
      <c r="F407" s="64"/>
      <c r="G407" s="64"/>
      <c r="H407" s="65"/>
      <c r="I407" s="29"/>
      <c r="J407" s="24"/>
      <c r="K407" s="24"/>
      <c r="L407" s="24"/>
      <c r="M407" s="24"/>
      <c r="N407" s="24"/>
      <c r="O407" s="24"/>
      <c r="P407" s="24"/>
      <c r="Q407" s="23">
        <f t="shared" si="46"/>
        <v>0</v>
      </c>
    </row>
    <row r="408" spans="1:41">
      <c r="A408" s="63"/>
      <c r="B408" s="64" t="s">
        <v>209</v>
      </c>
      <c r="C408" s="64"/>
      <c r="D408" s="597" t="s">
        <v>30</v>
      </c>
      <c r="E408" s="598"/>
      <c r="F408" s="598"/>
      <c r="G408" s="598"/>
      <c r="H408" s="68" t="s">
        <v>196</v>
      </c>
      <c r="I408" s="29"/>
      <c r="J408" s="24"/>
      <c r="K408" s="24"/>
      <c r="L408" s="24"/>
      <c r="M408" s="24"/>
      <c r="N408" s="24"/>
      <c r="O408" s="24"/>
      <c r="P408" s="24"/>
      <c r="Q408" s="23">
        <f t="shared" si="46"/>
        <v>0</v>
      </c>
    </row>
    <row r="409" spans="1:41" ht="36">
      <c r="A409" s="63"/>
      <c r="B409" s="69" t="s">
        <v>22</v>
      </c>
      <c r="C409" s="70" t="s">
        <v>21</v>
      </c>
      <c r="D409" s="71" t="s">
        <v>28</v>
      </c>
      <c r="E409" s="72" t="s">
        <v>195</v>
      </c>
      <c r="F409" s="69" t="s">
        <v>210</v>
      </c>
      <c r="G409" s="73" t="s">
        <v>32</v>
      </c>
      <c r="H409" s="74" t="s">
        <v>31</v>
      </c>
      <c r="I409" s="29"/>
      <c r="J409" s="24"/>
      <c r="K409" s="24"/>
      <c r="L409" s="24"/>
      <c r="M409" s="24"/>
      <c r="N409" s="24"/>
      <c r="O409" s="24"/>
      <c r="P409" s="24"/>
      <c r="Q409" s="23">
        <f t="shared" si="46"/>
        <v>0</v>
      </c>
    </row>
    <row r="410" spans="1:41" ht="15.75" customHeight="1">
      <c r="A410" s="25" t="s">
        <v>220</v>
      </c>
      <c r="B410" s="89">
        <f>(' Pivot Table for Data Exchange'!$P$7)*100</f>
        <v>91.512051798247995</v>
      </c>
      <c r="C410" s="89">
        <f>(' Pivot Table for Data Exchange'!$P$10)*100</f>
        <v>0</v>
      </c>
      <c r="D410" s="83">
        <f>SUM(E410:G410)</f>
        <v>8.4879482017519994</v>
      </c>
      <c r="E410" s="89">
        <f>(' Pivot Table for Data Exchange'!$P$13)*100</f>
        <v>6.1347189727406279</v>
      </c>
      <c r="F410" s="89">
        <f>(' Pivot Table for Data Exchange'!$P$16)*100</f>
        <v>0.12242232983296153</v>
      </c>
      <c r="G410" s="90">
        <f>(' Pivot Table for Data Exchange'!$P$19)*100</f>
        <v>2.2308068991784102</v>
      </c>
      <c r="H410" s="89">
        <f>(' Pivot Table for Data Exchange'!$P$22)*100</f>
        <v>0</v>
      </c>
      <c r="I410" s="24"/>
      <c r="J410" s="82"/>
      <c r="K410" s="82"/>
      <c r="L410" s="82"/>
      <c r="M410" s="82"/>
      <c r="N410" s="82"/>
      <c r="O410" s="82"/>
      <c r="P410" s="82"/>
      <c r="Q410" s="23">
        <f t="shared" si="46"/>
        <v>100</v>
      </c>
      <c r="R410" s="23"/>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row>
    <row r="411" spans="1:41" ht="15.75" customHeight="1">
      <c r="A411" s="24" t="s">
        <v>221</v>
      </c>
      <c r="B411" s="89">
        <f>(' Pivot Table for Data Exchange'!$P$43)*100</f>
        <v>0</v>
      </c>
      <c r="C411" s="89">
        <f>(' Pivot Table for Data Exchange'!$P$46)*100</f>
        <v>0</v>
      </c>
      <c r="D411" s="83">
        <f>SUM(E411:G411)</f>
        <v>0</v>
      </c>
      <c r="E411" s="89">
        <f>(' Pivot Table for Data Exchange'!$P$49)*100</f>
        <v>0</v>
      </c>
      <c r="F411" s="89">
        <f>(' Pivot Table for Data Exchange'!$P$52)*100</f>
        <v>0</v>
      </c>
      <c r="G411" s="91">
        <f>(' Pivot Table for Data Exchange'!$P$55)*100</f>
        <v>0</v>
      </c>
      <c r="H411" s="89">
        <f>(' Pivot Table for Data Exchange'!$P$58)*100</f>
        <v>0</v>
      </c>
      <c r="I411" s="24"/>
      <c r="J411" s="82"/>
      <c r="K411" s="82"/>
      <c r="L411" s="82"/>
      <c r="M411" s="82"/>
      <c r="N411" s="82"/>
      <c r="O411" s="82"/>
      <c r="P411" s="82"/>
      <c r="Q411" s="23">
        <f t="shared" si="46"/>
        <v>0</v>
      </c>
      <c r="R411" s="23"/>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row>
    <row r="412" spans="1:41" ht="15.75" customHeight="1">
      <c r="A412" s="24" t="s">
        <v>222</v>
      </c>
      <c r="B412" s="89">
        <f>(' Pivot Table for Data Exchange'!$P$79)*100</f>
        <v>0</v>
      </c>
      <c r="C412" s="89">
        <f>(' Pivot Table for Data Exchange'!$P$82)*100</f>
        <v>0</v>
      </c>
      <c r="D412" s="83">
        <f>SUM(E412:G412)</f>
        <v>0</v>
      </c>
      <c r="E412" s="89">
        <f>(' Pivot Table for Data Exchange'!$P$85)*100</f>
        <v>0</v>
      </c>
      <c r="F412" s="89">
        <f>(' Pivot Table for Data Exchange'!$P$88)*100</f>
        <v>0</v>
      </c>
      <c r="G412" s="91">
        <f>(' Pivot Table for Data Exchange'!$P$91)*100</f>
        <v>0</v>
      </c>
      <c r="H412" s="89">
        <f>(' Pivot Table for Data Exchange'!$P$94)*100</f>
        <v>0</v>
      </c>
      <c r="I412" s="24"/>
      <c r="J412" s="82"/>
      <c r="K412" s="82"/>
      <c r="L412" s="82"/>
      <c r="M412" s="82"/>
      <c r="N412" s="82"/>
      <c r="O412" s="82"/>
      <c r="P412" s="82"/>
      <c r="Q412" s="23">
        <f t="shared" si="46"/>
        <v>0</v>
      </c>
      <c r="R412" s="23"/>
      <c r="S412" s="31"/>
      <c r="T412" s="40"/>
      <c r="U412" s="31"/>
      <c r="V412" s="31"/>
      <c r="W412" s="31"/>
      <c r="X412" s="31"/>
      <c r="Y412" s="31"/>
      <c r="Z412" s="31"/>
      <c r="AA412" s="31"/>
      <c r="AB412" s="31"/>
      <c r="AC412" s="31"/>
      <c r="AD412" s="31"/>
      <c r="AE412" s="31"/>
      <c r="AF412" s="31"/>
      <c r="AG412" s="31"/>
      <c r="AH412" s="31"/>
      <c r="AI412" s="31"/>
      <c r="AJ412" s="31"/>
      <c r="AK412" s="31"/>
      <c r="AL412" s="31"/>
      <c r="AM412" s="31"/>
      <c r="AN412" s="31"/>
      <c r="AO412" s="31"/>
    </row>
    <row r="413" spans="1:41" ht="15.75" customHeight="1">
      <c r="A413" s="24" t="s">
        <v>223</v>
      </c>
      <c r="B413" s="89">
        <f>(' Pivot Table for Data Exchange'!$P$115)*100</f>
        <v>0</v>
      </c>
      <c r="C413" s="89">
        <f>(' Pivot Table for Data Exchange'!$P$118)*100</f>
        <v>0</v>
      </c>
      <c r="D413" s="83">
        <f>SUM(E413:G413)</f>
        <v>0</v>
      </c>
      <c r="E413" s="89">
        <f>(' Pivot Table for Data Exchange'!$P$121)*100</f>
        <v>0</v>
      </c>
      <c r="F413" s="89">
        <f>(' Pivot Table for Data Exchange'!$P$124)*100</f>
        <v>0</v>
      </c>
      <c r="G413" s="91">
        <f>(' Pivot Table for Data Exchange'!$P$127)*100</f>
        <v>0</v>
      </c>
      <c r="H413" s="89">
        <f>(' Pivot Table for Data Exchange'!$P$130)*100</f>
        <v>0</v>
      </c>
      <c r="I413" s="24"/>
      <c r="J413" s="82"/>
      <c r="K413" s="82"/>
      <c r="L413" s="82"/>
      <c r="M413" s="82"/>
      <c r="N413" s="82"/>
      <c r="O413" s="82"/>
      <c r="P413" s="82"/>
      <c r="Q413" s="23">
        <f t="shared" si="46"/>
        <v>0</v>
      </c>
      <c r="R413" s="23"/>
      <c r="S413" s="31"/>
      <c r="U413" s="31"/>
      <c r="V413" s="31"/>
      <c r="W413" s="31"/>
      <c r="X413" s="31"/>
      <c r="Y413" s="31"/>
      <c r="Z413" s="31"/>
      <c r="AA413" s="31"/>
      <c r="AB413" s="31"/>
      <c r="AC413" s="31"/>
      <c r="AD413" s="31"/>
      <c r="AE413" s="31"/>
      <c r="AF413" s="31"/>
      <c r="AG413" s="31"/>
      <c r="AH413" s="31"/>
      <c r="AI413" s="31"/>
      <c r="AJ413" s="31"/>
      <c r="AK413" s="31"/>
      <c r="AL413" s="31"/>
      <c r="AM413" s="31"/>
      <c r="AN413" s="31"/>
      <c r="AO413" s="31"/>
    </row>
    <row r="414" spans="1:41" ht="15.75" customHeight="1">
      <c r="A414" s="24"/>
      <c r="B414" s="89"/>
      <c r="C414" s="89"/>
      <c r="D414" s="83"/>
      <c r="E414" s="89"/>
      <c r="F414" s="89"/>
      <c r="G414" s="91"/>
      <c r="H414" s="89"/>
      <c r="I414" s="24"/>
      <c r="J414" s="82"/>
      <c r="K414" s="82"/>
      <c r="L414" s="82"/>
      <c r="M414" s="82"/>
      <c r="N414" s="82"/>
      <c r="O414" s="82"/>
      <c r="P414" s="82"/>
      <c r="Q414" s="23">
        <f t="shared" si="46"/>
        <v>0</v>
      </c>
      <c r="R414" s="23"/>
      <c r="S414" s="31"/>
      <c r="U414" s="31"/>
      <c r="V414" s="31"/>
      <c r="W414" s="31"/>
      <c r="X414" s="31"/>
      <c r="Y414" s="31"/>
      <c r="Z414" s="31"/>
      <c r="AA414" s="31"/>
      <c r="AB414" s="31"/>
      <c r="AC414" s="31"/>
      <c r="AD414" s="31"/>
      <c r="AE414" s="31"/>
      <c r="AF414" s="31"/>
      <c r="AG414" s="31"/>
      <c r="AH414" s="31"/>
      <c r="AI414" s="31"/>
      <c r="AJ414" s="31"/>
      <c r="AK414" s="31"/>
      <c r="AL414" s="31"/>
      <c r="AM414" s="31"/>
      <c r="AN414" s="31"/>
      <c r="AO414" s="31"/>
    </row>
    <row r="415" spans="1:41" ht="15.75" customHeight="1">
      <c r="A415" s="24" t="s">
        <v>224</v>
      </c>
      <c r="B415" s="89">
        <f>(' Pivot Table for Data Exchange'!$P$151)*100</f>
        <v>73.586520137799184</v>
      </c>
      <c r="C415" s="89">
        <f>(' Pivot Table for Data Exchange'!$P$154)*100</f>
        <v>0</v>
      </c>
      <c r="D415" s="83">
        <f>SUM(E415:G415)</f>
        <v>26.413479862200813</v>
      </c>
      <c r="E415" s="89">
        <f>(' Pivot Table for Data Exchange'!$P$157)*100</f>
        <v>26.076294694941403</v>
      </c>
      <c r="F415" s="89">
        <f>(' Pivot Table for Data Exchange'!$P$160)*100</f>
        <v>0.33519462286738055</v>
      </c>
      <c r="G415" s="582">
        <f>(' Pivot Table for Data Exchange'!$P$163)*100</f>
        <v>1.9905443920278632E-3</v>
      </c>
      <c r="H415" s="89">
        <f>(' Pivot Table for Data Exchange'!$P$166)*100</f>
        <v>0</v>
      </c>
      <c r="I415" s="24"/>
      <c r="J415" s="82"/>
      <c r="K415" s="82"/>
      <c r="L415" s="82"/>
      <c r="M415" s="82"/>
      <c r="N415" s="82"/>
      <c r="O415" s="82"/>
      <c r="P415" s="82"/>
      <c r="Q415" s="23">
        <f t="shared" si="46"/>
        <v>100</v>
      </c>
      <c r="R415" s="23"/>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row>
    <row r="416" spans="1:41" ht="15.75" customHeight="1">
      <c r="A416" s="24" t="s">
        <v>225</v>
      </c>
      <c r="B416" s="89">
        <f>(' Pivot Table for Data Exchange'!$P$187)*100</f>
        <v>95.998224468194081</v>
      </c>
      <c r="C416" s="89">
        <f>(' Pivot Table for Data Exchange'!$P$190)*100</f>
        <v>0.66240994297811318</v>
      </c>
      <c r="D416" s="83">
        <f>SUM(E416:G416)</f>
        <v>3.3393655888278078</v>
      </c>
      <c r="E416" s="89">
        <f>(' Pivot Table for Data Exchange'!$P$193)*100</f>
        <v>3.3393655888278078</v>
      </c>
      <c r="F416" s="89">
        <f>(' Pivot Table for Data Exchange'!$P$196)*100</f>
        <v>0</v>
      </c>
      <c r="G416" s="91">
        <f>(' Pivot Table for Data Exchange'!$P$199)*100</f>
        <v>0</v>
      </c>
      <c r="H416" s="89">
        <f>(' Pivot Table for Data Exchange'!$P$202)*100</f>
        <v>0</v>
      </c>
      <c r="I416" s="155"/>
      <c r="J416" s="82"/>
      <c r="K416" s="82"/>
      <c r="L416" s="82"/>
      <c r="M416" s="82"/>
      <c r="N416" s="82"/>
      <c r="O416" s="82"/>
      <c r="P416" s="82"/>
      <c r="Q416" s="23">
        <f t="shared" si="46"/>
        <v>100</v>
      </c>
      <c r="R416" s="23"/>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row>
    <row r="417" spans="1:41" ht="15.75" customHeight="1">
      <c r="A417" s="24" t="s">
        <v>226</v>
      </c>
      <c r="B417" s="31">
        <f>(' Pivot Table for Data Exchange'!$P$223)*100</f>
        <v>100</v>
      </c>
      <c r="C417" s="89">
        <f>(' Pivot Table for Data Exchange'!$P$226)*100</f>
        <v>0</v>
      </c>
      <c r="D417" s="83">
        <f>SUM(E417:G417)</f>
        <v>0</v>
      </c>
      <c r="E417" s="89">
        <f>(' Pivot Table for Data Exchange'!$P$229)*100</f>
        <v>0</v>
      </c>
      <c r="F417" s="89">
        <f>(' Pivot Table for Data Exchange'!$P$232)*100</f>
        <v>0</v>
      </c>
      <c r="G417" s="91">
        <f>(' Pivot Table for Data Exchange'!$P$235)*100</f>
        <v>0</v>
      </c>
      <c r="H417" s="89">
        <f>(' Pivot Table for Data Exchange'!$P$238)*100</f>
        <v>0</v>
      </c>
      <c r="I417" s="154"/>
      <c r="J417" s="82"/>
      <c r="K417" s="82"/>
      <c r="L417" s="82"/>
      <c r="M417" s="82"/>
      <c r="N417" s="82"/>
      <c r="O417" s="82"/>
      <c r="P417" s="82"/>
      <c r="Q417" s="23">
        <f>SUM(I417,C417,D417,H417)</f>
        <v>0</v>
      </c>
      <c r="R417" s="23"/>
      <c r="S417" s="31"/>
      <c r="T417" s="40"/>
      <c r="U417" s="31"/>
      <c r="V417" s="31"/>
      <c r="W417" s="31"/>
      <c r="X417" s="31"/>
      <c r="Y417" s="31"/>
      <c r="Z417" s="31"/>
      <c r="AA417" s="31"/>
      <c r="AB417" s="31"/>
      <c r="AC417" s="31"/>
      <c r="AD417" s="31"/>
      <c r="AE417" s="31"/>
      <c r="AF417" s="31"/>
      <c r="AG417" s="31"/>
      <c r="AH417" s="31"/>
      <c r="AI417" s="31"/>
      <c r="AJ417" s="31"/>
      <c r="AK417" s="31"/>
      <c r="AL417" s="31"/>
      <c r="AM417" s="31"/>
      <c r="AN417" s="31"/>
      <c r="AO417" s="31"/>
    </row>
    <row r="418" spans="1:41" ht="15.75" customHeight="1">
      <c r="A418" s="24" t="s">
        <v>227</v>
      </c>
      <c r="B418" s="89">
        <f>(' Pivot Table for Data Exchange'!$P$259)*100</f>
        <v>0</v>
      </c>
      <c r="C418" s="89">
        <f>(' Pivot Table for Data Exchange'!$P$262)*100</f>
        <v>0</v>
      </c>
      <c r="D418" s="83">
        <f>SUM(E418:G418)</f>
        <v>0</v>
      </c>
      <c r="E418" s="89">
        <f>(' Pivot Table for Data Exchange'!$P$265)*100</f>
        <v>0</v>
      </c>
      <c r="F418" s="89">
        <f>(' Pivot Table for Data Exchange'!$P$268)*100</f>
        <v>0</v>
      </c>
      <c r="G418" s="91">
        <f>(' Pivot Table for Data Exchange'!$P$271)*100</f>
        <v>0</v>
      </c>
      <c r="H418" s="89">
        <f>(' Pivot Table for Data Exchange'!$P$274)*100</f>
        <v>0</v>
      </c>
      <c r="I418" s="24"/>
      <c r="J418" s="82"/>
      <c r="K418" s="82"/>
      <c r="L418" s="82"/>
      <c r="M418" s="82"/>
      <c r="N418" s="82"/>
      <c r="O418" s="82"/>
      <c r="P418" s="82"/>
      <c r="Q418" s="23">
        <f t="shared" si="46"/>
        <v>0</v>
      </c>
      <c r="R418" s="23"/>
      <c r="S418" s="31"/>
      <c r="U418" s="31"/>
      <c r="V418" s="31"/>
      <c r="W418" s="31"/>
      <c r="X418" s="31"/>
      <c r="Y418" s="31"/>
      <c r="Z418" s="31"/>
      <c r="AA418" s="31"/>
      <c r="AB418" s="31"/>
      <c r="AC418" s="31"/>
      <c r="AD418" s="31"/>
      <c r="AE418" s="31"/>
      <c r="AF418" s="31"/>
      <c r="AG418" s="31"/>
      <c r="AH418" s="31"/>
      <c r="AI418" s="31"/>
      <c r="AJ418" s="31"/>
      <c r="AK418" s="31"/>
      <c r="AL418" s="31"/>
      <c r="AM418" s="31"/>
      <c r="AN418" s="31"/>
      <c r="AO418" s="31"/>
    </row>
    <row r="419" spans="1:41" ht="15.75" customHeight="1">
      <c r="A419" s="24"/>
      <c r="B419" s="89"/>
      <c r="C419" s="89"/>
      <c r="D419" s="83"/>
      <c r="E419" s="89"/>
      <c r="F419" s="89"/>
      <c r="G419" s="91"/>
      <c r="H419" s="89"/>
      <c r="I419" s="24"/>
      <c r="J419" s="82"/>
      <c r="K419" s="82"/>
      <c r="L419" s="82"/>
      <c r="M419" s="82"/>
      <c r="N419" s="82"/>
      <c r="O419" s="82"/>
      <c r="P419" s="82"/>
      <c r="Q419" s="23">
        <f t="shared" si="46"/>
        <v>0</v>
      </c>
      <c r="R419" s="23"/>
      <c r="S419" s="31"/>
      <c r="U419" s="31"/>
      <c r="V419" s="31"/>
      <c r="W419" s="31"/>
      <c r="X419" s="31"/>
      <c r="Y419" s="31"/>
      <c r="Z419" s="31"/>
      <c r="AA419" s="31"/>
      <c r="AB419" s="31"/>
      <c r="AC419" s="31"/>
      <c r="AD419" s="31"/>
      <c r="AE419" s="31"/>
      <c r="AF419" s="31"/>
      <c r="AG419" s="31"/>
      <c r="AH419" s="31"/>
      <c r="AI419" s="31"/>
      <c r="AJ419" s="31"/>
      <c r="AK419" s="31"/>
      <c r="AL419" s="31"/>
      <c r="AM419" s="31"/>
      <c r="AN419" s="31"/>
      <c r="AO419" s="31"/>
    </row>
    <row r="420" spans="1:41" ht="15.75" customHeight="1">
      <c r="A420" s="24" t="s">
        <v>204</v>
      </c>
      <c r="B420" s="89">
        <f>(' Pivot Table for Data Exchange'!$P$295)*100</f>
        <v>0</v>
      </c>
      <c r="C420" s="89">
        <f>(' Pivot Table for Data Exchange'!$P$298)*100</f>
        <v>0</v>
      </c>
      <c r="D420" s="83">
        <f>SUM(E420:G420)</f>
        <v>0</v>
      </c>
      <c r="E420" s="89">
        <f>(' Pivot Table for Data Exchange'!$P$301)*100</f>
        <v>0</v>
      </c>
      <c r="F420" s="89">
        <f>(' Pivot Table for Data Exchange'!$P$304)*100</f>
        <v>0</v>
      </c>
      <c r="G420" s="91">
        <f>(' Pivot Table for Data Exchange'!$P$307)*100</f>
        <v>0</v>
      </c>
      <c r="H420" s="89">
        <f>(' Pivot Table for Data Exchange'!$P$310)*100</f>
        <v>0</v>
      </c>
      <c r="I420" s="24"/>
      <c r="J420" s="82"/>
      <c r="K420" s="82"/>
      <c r="L420" s="82"/>
      <c r="M420" s="82"/>
      <c r="N420" s="82"/>
      <c r="O420" s="82"/>
      <c r="P420" s="82"/>
      <c r="Q420" s="23">
        <f t="shared" si="46"/>
        <v>0</v>
      </c>
      <c r="R420" s="23"/>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row>
    <row r="421" spans="1:41" ht="15.75" customHeight="1">
      <c r="A421" s="24" t="s">
        <v>212</v>
      </c>
      <c r="B421" s="89">
        <f>(' Pivot Table for Data Exchange'!$P$331)*100</f>
        <v>0</v>
      </c>
      <c r="C421" s="89">
        <f>(' Pivot Table for Data Exchange'!$P$334)*100</f>
        <v>0</v>
      </c>
      <c r="D421" s="83">
        <f>SUM(E421:G421)</f>
        <v>0</v>
      </c>
      <c r="E421" s="89">
        <f>(' Pivot Table for Data Exchange'!$P$337)*100</f>
        <v>0</v>
      </c>
      <c r="F421" s="89">
        <f>(' Pivot Table for Data Exchange'!$P$340)*100</f>
        <v>0</v>
      </c>
      <c r="G421" s="91">
        <f>(' Pivot Table for Data Exchange'!$P$343)*100</f>
        <v>0</v>
      </c>
      <c r="H421" s="89">
        <f>(' Pivot Table for Data Exchange'!$P$346)*100</f>
        <v>0</v>
      </c>
      <c r="I421" s="24"/>
      <c r="J421" s="82"/>
      <c r="K421" s="82"/>
      <c r="L421" s="82"/>
      <c r="M421" s="82"/>
      <c r="N421" s="82"/>
      <c r="O421" s="82"/>
      <c r="P421" s="82"/>
      <c r="Q421" s="23">
        <f t="shared" si="46"/>
        <v>0</v>
      </c>
      <c r="R421" s="23"/>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row>
    <row r="422" spans="1:41" ht="15.75" customHeight="1">
      <c r="A422" s="24" t="s">
        <v>205</v>
      </c>
      <c r="B422" s="89">
        <f>(' Pivot Table for Data Exchange'!$P$367)*100</f>
        <v>0</v>
      </c>
      <c r="C422" s="89">
        <f>(' Pivot Table for Data Exchange'!$P$370)*100</f>
        <v>0</v>
      </c>
      <c r="D422" s="83">
        <f>SUM(E422:G422)</f>
        <v>0</v>
      </c>
      <c r="E422" s="89">
        <f>(' Pivot Table for Data Exchange'!$P$373)*100</f>
        <v>0</v>
      </c>
      <c r="F422" s="89">
        <f>(' Pivot Table for Data Exchange'!$P$376)*100</f>
        <v>0</v>
      </c>
      <c r="G422" s="91">
        <f>(' Pivot Table for Data Exchange'!$P$379)*100</f>
        <v>0</v>
      </c>
      <c r="H422" s="89">
        <f>(' Pivot Table for Data Exchange'!$P$382)*100</f>
        <v>0</v>
      </c>
      <c r="I422" s="24"/>
      <c r="J422" s="82"/>
      <c r="K422" s="82"/>
      <c r="L422" s="82"/>
      <c r="M422" s="82"/>
      <c r="N422" s="82"/>
      <c r="O422" s="82"/>
      <c r="P422" s="82"/>
      <c r="Q422" s="23">
        <f t="shared" si="46"/>
        <v>0</v>
      </c>
      <c r="R422" s="23"/>
      <c r="S422" s="31"/>
      <c r="T422" s="40"/>
      <c r="U422" s="31"/>
      <c r="V422" s="31"/>
      <c r="W422" s="31"/>
      <c r="X422" s="31"/>
      <c r="Y422" s="31"/>
      <c r="Z422" s="31"/>
      <c r="AA422" s="31"/>
      <c r="AB422" s="31"/>
      <c r="AC422" s="31"/>
      <c r="AD422" s="31"/>
      <c r="AE422" s="31"/>
      <c r="AF422" s="31"/>
      <c r="AG422" s="31"/>
      <c r="AH422" s="31"/>
      <c r="AI422" s="31"/>
      <c r="AJ422" s="31"/>
      <c r="AK422" s="31"/>
      <c r="AL422" s="31"/>
      <c r="AM422" s="31"/>
      <c r="AN422" s="31"/>
      <c r="AO422" s="31"/>
    </row>
    <row r="423" spans="1:41" ht="15.75" customHeight="1">
      <c r="A423" s="24" t="s">
        <v>228</v>
      </c>
      <c r="B423" s="89">
        <f>(' Pivot Table for Data Exchange'!$P$403)*100</f>
        <v>0</v>
      </c>
      <c r="C423" s="89">
        <f>(' Pivot Table for Data Exchange'!$P$406)*100</f>
        <v>0</v>
      </c>
      <c r="D423" s="83">
        <f>SUM(E423:G423)</f>
        <v>0</v>
      </c>
      <c r="E423" s="89">
        <f>(' Pivot Table for Data Exchange'!$P$409)*100</f>
        <v>0</v>
      </c>
      <c r="F423" s="89">
        <f>(' Pivot Table for Data Exchange'!$P$412)*100</f>
        <v>0</v>
      </c>
      <c r="G423" s="91">
        <f>(' Pivot Table for Data Exchange'!$P$415)*100</f>
        <v>0</v>
      </c>
      <c r="H423" s="89">
        <f>(' Pivot Table for Data Exchange'!$P$418)*100</f>
        <v>0</v>
      </c>
      <c r="I423" s="24"/>
      <c r="J423" s="82"/>
      <c r="K423" s="82"/>
      <c r="L423" s="82"/>
      <c r="M423" s="82"/>
      <c r="N423" s="82"/>
      <c r="O423" s="82"/>
      <c r="P423" s="82"/>
      <c r="Q423" s="23">
        <f t="shared" si="46"/>
        <v>0</v>
      </c>
      <c r="R423" s="23"/>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row>
    <row r="424" spans="1:41" ht="15.75" customHeight="1">
      <c r="A424" s="24"/>
      <c r="B424" s="89"/>
      <c r="C424" s="89"/>
      <c r="D424" s="83"/>
      <c r="E424" s="89"/>
      <c r="F424" s="89"/>
      <c r="G424" s="91"/>
      <c r="H424" s="89"/>
      <c r="I424" s="24"/>
      <c r="J424" s="82"/>
      <c r="K424" s="82"/>
      <c r="L424" s="82"/>
      <c r="M424" s="82"/>
      <c r="N424" s="82"/>
      <c r="O424" s="82"/>
      <c r="P424" s="82"/>
      <c r="Q424" s="23">
        <f t="shared" si="46"/>
        <v>0</v>
      </c>
      <c r="R424" s="23"/>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row>
    <row r="425" spans="1:41" ht="15.75" customHeight="1">
      <c r="A425" s="24" t="s">
        <v>229</v>
      </c>
      <c r="B425" s="89">
        <f>(' Pivot Table for Data Exchange'!$P$439)*100</f>
        <v>0</v>
      </c>
      <c r="C425" s="89">
        <f>(' Pivot Table for Data Exchange'!$P$442)*100</f>
        <v>0</v>
      </c>
      <c r="D425" s="83">
        <f>SUM(E425:G425)</f>
        <v>0</v>
      </c>
      <c r="E425" s="89">
        <f>(' Pivot Table for Data Exchange'!$P$445)*100</f>
        <v>0</v>
      </c>
      <c r="F425" s="89">
        <f>(' Pivot Table for Data Exchange'!$P$448)*100</f>
        <v>0</v>
      </c>
      <c r="G425" s="91">
        <f>(' Pivot Table for Data Exchange'!$P$451)*100</f>
        <v>0</v>
      </c>
      <c r="H425" s="89">
        <f>(' Pivot Table for Data Exchange'!$P$454)*100</f>
        <v>0</v>
      </c>
      <c r="I425" s="24"/>
      <c r="J425" s="82"/>
      <c r="K425" s="82"/>
      <c r="L425" s="82"/>
      <c r="M425" s="82"/>
      <c r="N425" s="82"/>
      <c r="O425" s="82"/>
      <c r="P425" s="82"/>
      <c r="Q425" s="23">
        <f t="shared" si="46"/>
        <v>0</v>
      </c>
      <c r="R425" s="23"/>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row>
    <row r="426" spans="1:41" ht="15.75" customHeight="1">
      <c r="A426" s="24" t="s">
        <v>213</v>
      </c>
      <c r="B426" s="89">
        <f>(' Pivot Table for Data Exchange'!$P$475)*100</f>
        <v>0</v>
      </c>
      <c r="C426" s="89">
        <f>(' Pivot Table for Data Exchange'!$P$478)*100</f>
        <v>0</v>
      </c>
      <c r="D426" s="83">
        <f>SUM(E426:G426)</f>
        <v>0</v>
      </c>
      <c r="E426" s="89">
        <f>(' Pivot Table for Data Exchange'!$P$481)*100</f>
        <v>0</v>
      </c>
      <c r="F426" s="89">
        <f>(' Pivot Table for Data Exchange'!$P$484)*100</f>
        <v>0</v>
      </c>
      <c r="G426" s="91">
        <f>(' Pivot Table for Data Exchange'!$P$487)*100</f>
        <v>0</v>
      </c>
      <c r="H426" s="89">
        <f>(' Pivot Table for Data Exchange'!$P$490)*100</f>
        <v>0</v>
      </c>
      <c r="I426" s="24"/>
      <c r="J426" s="82"/>
      <c r="K426" s="82"/>
      <c r="L426" s="82"/>
      <c r="M426" s="82"/>
      <c r="N426" s="82"/>
      <c r="O426" s="82"/>
      <c r="P426" s="82"/>
      <c r="Q426" s="23">
        <f t="shared" si="46"/>
        <v>0</v>
      </c>
      <c r="R426" s="23"/>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row>
    <row r="427" spans="1:41" ht="15.75" customHeight="1">
      <c r="A427" s="24" t="s">
        <v>230</v>
      </c>
      <c r="B427" s="89">
        <f>(' Pivot Table for Data Exchange'!$P$511)*100</f>
        <v>0</v>
      </c>
      <c r="C427" s="89">
        <f>(' Pivot Table for Data Exchange'!$P$514)*100</f>
        <v>0</v>
      </c>
      <c r="D427" s="83">
        <f>SUM(E427:G427)</f>
        <v>0</v>
      </c>
      <c r="E427" s="89">
        <f>(' Pivot Table for Data Exchange'!$P$517)*100</f>
        <v>0</v>
      </c>
      <c r="F427" s="89">
        <f>(' Pivot Table for Data Exchange'!$P$520)*100</f>
        <v>0</v>
      </c>
      <c r="G427" s="91">
        <f>(' Pivot Table for Data Exchange'!$P$523)*100</f>
        <v>0</v>
      </c>
      <c r="H427" s="89">
        <f>(' Pivot Table for Data Exchange'!$P$526)*100</f>
        <v>0</v>
      </c>
      <c r="I427" s="24"/>
      <c r="J427" s="82"/>
      <c r="K427" s="82"/>
      <c r="L427" s="82"/>
      <c r="M427" s="82"/>
      <c r="N427" s="82"/>
      <c r="O427" s="82"/>
      <c r="P427" s="82"/>
      <c r="Q427" s="23">
        <f t="shared" si="46"/>
        <v>0</v>
      </c>
      <c r="R427" s="23"/>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row>
    <row r="428" spans="1:41" ht="15.75" customHeight="1">
      <c r="A428" s="18" t="s">
        <v>206</v>
      </c>
      <c r="B428" s="92">
        <f>(' Pivot Table for Data Exchange'!$P$547)*100</f>
        <v>0</v>
      </c>
      <c r="C428" s="92">
        <f>(' Pivot Table for Data Exchange'!$P$550)*100</f>
        <v>0</v>
      </c>
      <c r="D428" s="84">
        <f>SUM(E428:G428)</f>
        <v>0</v>
      </c>
      <c r="E428" s="92">
        <f>(' Pivot Table for Data Exchange'!$P$553)*100</f>
        <v>0</v>
      </c>
      <c r="F428" s="92">
        <f>(' Pivot Table for Data Exchange'!$P$556)*100</f>
        <v>0</v>
      </c>
      <c r="G428" s="93">
        <f>(' Pivot Table for Data Exchange'!$P$559)*100</f>
        <v>0</v>
      </c>
      <c r="H428" s="92">
        <f>(' Pivot Table for Data Exchange'!$P$562)*100</f>
        <v>0</v>
      </c>
      <c r="I428" s="24"/>
      <c r="J428" s="82"/>
      <c r="K428" s="82"/>
      <c r="L428" s="82"/>
      <c r="M428" s="82"/>
      <c r="N428" s="82"/>
      <c r="O428" s="82"/>
      <c r="P428" s="82"/>
      <c r="Q428" s="23">
        <f t="shared" si="46"/>
        <v>0</v>
      </c>
      <c r="R428" s="23"/>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row>
    <row r="429" spans="1:41" s="45" customFormat="1" ht="18" customHeight="1">
      <c r="A429" s="85" t="s">
        <v>35</v>
      </c>
      <c r="B429" s="49"/>
      <c r="C429" s="49"/>
      <c r="D429" s="50"/>
      <c r="E429" s="49"/>
      <c r="F429" s="50"/>
      <c r="G429" s="50"/>
      <c r="H429" s="49"/>
      <c r="I429" s="85"/>
      <c r="J429" s="49"/>
      <c r="K429" s="49"/>
      <c r="L429" s="50"/>
      <c r="M429" s="49"/>
      <c r="N429" s="50"/>
      <c r="O429" s="50"/>
      <c r="P429" s="49"/>
      <c r="Q429" s="23">
        <f t="shared" si="46"/>
        <v>0</v>
      </c>
      <c r="R429" s="49"/>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row>
    <row r="430" spans="1:41" s="45" customFormat="1" ht="13.5" customHeight="1">
      <c r="A430" s="85"/>
      <c r="B430" s="44"/>
      <c r="I430" s="85"/>
      <c r="P430" s="46"/>
      <c r="Q430" s="23">
        <f t="shared" si="46"/>
        <v>0</v>
      </c>
      <c r="R430" s="48"/>
    </row>
    <row r="431" spans="1:41" s="45" customFormat="1" ht="13.5" customHeight="1">
      <c r="A431" s="86"/>
      <c r="H431" s="572" t="s">
        <v>889</v>
      </c>
      <c r="I431" s="86"/>
      <c r="Q431" s="23">
        <f t="shared" si="46"/>
        <v>0</v>
      </c>
      <c r="R431" s="48"/>
    </row>
    <row r="432" spans="1:41" ht="18">
      <c r="A432" s="15" t="s">
        <v>13</v>
      </c>
      <c r="B432" s="16"/>
      <c r="C432" s="16"/>
      <c r="D432" s="16"/>
      <c r="E432" s="16"/>
      <c r="F432" s="16"/>
      <c r="G432" s="16"/>
      <c r="H432" s="30"/>
      <c r="I432" s="29"/>
      <c r="J432" s="24"/>
      <c r="K432" s="24"/>
      <c r="L432" s="24"/>
      <c r="M432" s="24"/>
      <c r="N432" s="24"/>
      <c r="O432" s="24"/>
      <c r="P432" s="24"/>
      <c r="Q432" s="23">
        <f t="shared" si="46"/>
        <v>0</v>
      </c>
    </row>
    <row r="433" spans="1:41">
      <c r="A433" s="58"/>
      <c r="B433" s="17"/>
      <c r="C433" s="17"/>
      <c r="D433" s="17"/>
      <c r="E433" s="17"/>
      <c r="F433" s="17"/>
      <c r="G433" s="17"/>
      <c r="H433" s="27"/>
      <c r="I433" s="29"/>
      <c r="J433" s="24"/>
      <c r="K433" s="24"/>
      <c r="L433" s="24"/>
      <c r="M433" s="24"/>
      <c r="N433" s="24"/>
      <c r="O433" s="24"/>
      <c r="P433" s="24"/>
      <c r="Q433" s="23">
        <f t="shared" si="46"/>
        <v>0</v>
      </c>
    </row>
    <row r="434" spans="1:41" ht="15.75">
      <c r="A434" s="26" t="s">
        <v>23</v>
      </c>
      <c r="B434" s="17"/>
      <c r="C434" s="17"/>
      <c r="D434" s="17"/>
      <c r="E434" s="17"/>
      <c r="F434" s="17"/>
      <c r="G434" s="17"/>
      <c r="H434" s="27"/>
      <c r="I434" s="29"/>
      <c r="J434" s="24"/>
      <c r="K434" s="24"/>
      <c r="L434" s="24"/>
      <c r="M434" s="24"/>
      <c r="N434" s="24"/>
      <c r="O434" s="24"/>
      <c r="P434" s="24"/>
      <c r="Q434" s="23">
        <f t="shared" si="46"/>
        <v>0</v>
      </c>
    </row>
    <row r="435" spans="1:41" ht="15.75">
      <c r="A435" s="26" t="s">
        <v>766</v>
      </c>
      <c r="B435" s="17"/>
      <c r="C435" s="17"/>
      <c r="D435" s="17"/>
      <c r="E435" s="17"/>
      <c r="F435" s="17"/>
      <c r="G435" s="17"/>
      <c r="H435" s="27"/>
      <c r="I435" s="29"/>
      <c r="J435" s="24"/>
      <c r="K435" s="24"/>
      <c r="L435" s="24"/>
      <c r="M435" s="24"/>
      <c r="N435" s="24"/>
      <c r="O435" s="24"/>
      <c r="P435" s="24"/>
      <c r="Q435" s="23">
        <f t="shared" si="46"/>
        <v>0</v>
      </c>
    </row>
    <row r="436" spans="1:41">
      <c r="A436" s="18"/>
      <c r="B436" s="19"/>
      <c r="C436" s="19"/>
      <c r="D436" s="19"/>
      <c r="E436" s="19"/>
      <c r="F436" s="19"/>
      <c r="G436" s="19"/>
      <c r="H436" s="19"/>
      <c r="I436" s="29"/>
      <c r="J436" s="24"/>
      <c r="K436" s="24"/>
      <c r="L436" s="24"/>
      <c r="M436" s="24"/>
      <c r="N436" s="24"/>
      <c r="O436" s="24"/>
      <c r="P436" s="24"/>
      <c r="Q436" s="23">
        <f t="shared" si="46"/>
        <v>0</v>
      </c>
    </row>
    <row r="437" spans="1:41">
      <c r="A437" s="63"/>
      <c r="B437" s="64" t="s">
        <v>215</v>
      </c>
      <c r="C437" s="64"/>
      <c r="D437" s="64"/>
      <c r="E437" s="64"/>
      <c r="F437" s="64"/>
      <c r="G437" s="64"/>
      <c r="H437" s="65"/>
      <c r="I437" s="29"/>
      <c r="J437" s="24"/>
      <c r="K437" s="24"/>
      <c r="L437" s="24"/>
      <c r="M437" s="24"/>
      <c r="N437" s="24"/>
      <c r="O437" s="24"/>
      <c r="P437" s="24"/>
      <c r="Q437" s="23">
        <f t="shared" si="46"/>
        <v>0</v>
      </c>
    </row>
    <row r="438" spans="1:41">
      <c r="A438" s="63"/>
      <c r="B438" s="64" t="s">
        <v>209</v>
      </c>
      <c r="C438" s="64"/>
      <c r="D438" s="597" t="s">
        <v>30</v>
      </c>
      <c r="E438" s="598"/>
      <c r="F438" s="598"/>
      <c r="G438" s="598"/>
      <c r="H438" s="68" t="s">
        <v>196</v>
      </c>
      <c r="I438" s="29"/>
      <c r="J438" s="24"/>
      <c r="K438" s="24"/>
      <c r="L438" s="24"/>
      <c r="M438" s="24"/>
      <c r="N438" s="24"/>
      <c r="O438" s="24"/>
      <c r="P438" s="24"/>
      <c r="Q438" s="23">
        <f t="shared" si="46"/>
        <v>0</v>
      </c>
    </row>
    <row r="439" spans="1:41" ht="36">
      <c r="A439" s="63"/>
      <c r="B439" s="69" t="s">
        <v>22</v>
      </c>
      <c r="C439" s="70" t="s">
        <v>21</v>
      </c>
      <c r="D439" s="71" t="s">
        <v>28</v>
      </c>
      <c r="E439" s="72" t="s">
        <v>195</v>
      </c>
      <c r="F439" s="69" t="s">
        <v>210</v>
      </c>
      <c r="G439" s="73" t="s">
        <v>32</v>
      </c>
      <c r="H439" s="74" t="s">
        <v>31</v>
      </c>
      <c r="I439" s="29"/>
      <c r="J439" s="24"/>
      <c r="K439" s="24"/>
      <c r="L439" s="24"/>
      <c r="M439" s="24"/>
      <c r="N439" s="24"/>
      <c r="O439" s="24"/>
      <c r="P439" s="24"/>
      <c r="Q439" s="23">
        <f t="shared" si="46"/>
        <v>0</v>
      </c>
    </row>
    <row r="440" spans="1:41" ht="15.75" customHeight="1">
      <c r="A440" s="25" t="s">
        <v>220</v>
      </c>
      <c r="B440" s="89">
        <f>(' Pivot Table for Data Exchange'!$Q$7)*100</f>
        <v>100</v>
      </c>
      <c r="C440" s="89">
        <f>(' Pivot Table for Data Exchange'!$Q$10)*100</f>
        <v>0</v>
      </c>
      <c r="D440" s="83">
        <f>SUM(E440:G440)</f>
        <v>0</v>
      </c>
      <c r="E440" s="89">
        <f>(' Pivot Table for Data Exchange'!$Q$13)*100</f>
        <v>0</v>
      </c>
      <c r="F440" s="89">
        <f>(' Pivot Table for Data Exchange'!$Q$16)*100</f>
        <v>0</v>
      </c>
      <c r="G440" s="90">
        <f>(' Pivot Table for Data Exchange'!$Q$19)*100</f>
        <v>0</v>
      </c>
      <c r="H440" s="89">
        <f>(' Pivot Table for Data Exchange'!$Q$22)*100</f>
        <v>0</v>
      </c>
      <c r="I440" s="24"/>
      <c r="J440" s="82"/>
      <c r="K440" s="82"/>
      <c r="L440" s="82"/>
      <c r="M440" s="82"/>
      <c r="N440" s="82"/>
      <c r="O440" s="82"/>
      <c r="P440" s="82"/>
      <c r="Q440" s="23">
        <f t="shared" si="46"/>
        <v>100</v>
      </c>
      <c r="R440" s="23"/>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row>
    <row r="441" spans="1:41" ht="15.75" customHeight="1">
      <c r="A441" s="24" t="s">
        <v>221</v>
      </c>
      <c r="B441" s="89">
        <f>(' Pivot Table for Data Exchange'!$Q$43)*100</f>
        <v>0</v>
      </c>
      <c r="C441" s="89">
        <f>(' Pivot Table for Data Exchange'!$Q$46)*100</f>
        <v>0</v>
      </c>
      <c r="D441" s="83">
        <f>SUM(E441:G441)</f>
        <v>0</v>
      </c>
      <c r="E441" s="89">
        <f>(' Pivot Table for Data Exchange'!$Q$49)*100</f>
        <v>0</v>
      </c>
      <c r="F441" s="89">
        <f>(' Pivot Table for Data Exchange'!$Q$52)*100</f>
        <v>0</v>
      </c>
      <c r="G441" s="91">
        <f>(' Pivot Table for Data Exchange'!$Q$55)*100</f>
        <v>0</v>
      </c>
      <c r="H441" s="89">
        <f>(' Pivot Table for Data Exchange'!$Q$58)*100</f>
        <v>0</v>
      </c>
      <c r="I441" s="24"/>
      <c r="J441" s="82"/>
      <c r="K441" s="82"/>
      <c r="L441" s="82"/>
      <c r="M441" s="82"/>
      <c r="N441" s="82"/>
      <c r="O441" s="82"/>
      <c r="P441" s="82"/>
      <c r="Q441" s="23">
        <f t="shared" si="46"/>
        <v>0</v>
      </c>
      <c r="R441" s="23"/>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row>
    <row r="442" spans="1:41" ht="15.75" customHeight="1">
      <c r="A442" s="24" t="s">
        <v>222</v>
      </c>
      <c r="B442" s="89">
        <f>(' Pivot Table for Data Exchange'!$Q$79)*100</f>
        <v>0</v>
      </c>
      <c r="C442" s="89">
        <f>(' Pivot Table for Data Exchange'!$Q$82)*100</f>
        <v>0</v>
      </c>
      <c r="D442" s="83">
        <f>SUM(E442:G442)</f>
        <v>0</v>
      </c>
      <c r="E442" s="89">
        <f>(' Pivot Table for Data Exchange'!$Q$85)*100</f>
        <v>0</v>
      </c>
      <c r="F442" s="89">
        <f>(' Pivot Table for Data Exchange'!$Q$88)*100</f>
        <v>0</v>
      </c>
      <c r="G442" s="91">
        <f>(' Pivot Table for Data Exchange'!$Q$91)*100</f>
        <v>0</v>
      </c>
      <c r="H442" s="89">
        <f>(' Pivot Table for Data Exchange'!$Q$94)*100</f>
        <v>0</v>
      </c>
      <c r="I442" s="24"/>
      <c r="J442" s="82"/>
      <c r="K442" s="82"/>
      <c r="L442" s="82"/>
      <c r="M442" s="82"/>
      <c r="N442" s="82"/>
      <c r="O442" s="82"/>
      <c r="P442" s="82"/>
      <c r="Q442" s="23">
        <f t="shared" si="46"/>
        <v>0</v>
      </c>
      <c r="R442" s="23"/>
      <c r="S442" s="31"/>
      <c r="T442" s="40"/>
      <c r="U442" s="31"/>
      <c r="V442" s="31"/>
      <c r="W442" s="31"/>
      <c r="X442" s="31"/>
      <c r="Y442" s="31"/>
      <c r="Z442" s="31"/>
      <c r="AA442" s="31"/>
      <c r="AB442" s="31"/>
      <c r="AC442" s="31"/>
      <c r="AD442" s="31"/>
      <c r="AE442" s="31"/>
      <c r="AF442" s="31"/>
      <c r="AG442" s="31"/>
      <c r="AH442" s="31"/>
      <c r="AI442" s="31"/>
      <c r="AJ442" s="31"/>
      <c r="AK442" s="31"/>
      <c r="AL442" s="31"/>
      <c r="AM442" s="31"/>
      <c r="AN442" s="31"/>
      <c r="AO442" s="31"/>
    </row>
    <row r="443" spans="1:41" ht="15.75" customHeight="1">
      <c r="A443" s="24" t="s">
        <v>223</v>
      </c>
      <c r="B443" s="89">
        <f>(' Pivot Table for Data Exchange'!$Q$115)*100</f>
        <v>0</v>
      </c>
      <c r="C443" s="89">
        <f>(' Pivot Table for Data Exchange'!$Q$118)*100</f>
        <v>0</v>
      </c>
      <c r="D443" s="83">
        <f>SUM(E443:G443)</f>
        <v>0</v>
      </c>
      <c r="E443" s="89">
        <f>(' Pivot Table for Data Exchange'!$Q$121)*100</f>
        <v>0</v>
      </c>
      <c r="F443" s="89">
        <f>(' Pivot Table for Data Exchange'!$Q$124)*100</f>
        <v>0</v>
      </c>
      <c r="G443" s="91">
        <f>(' Pivot Table for Data Exchange'!$Q$127)*100</f>
        <v>0</v>
      </c>
      <c r="H443" s="89">
        <f>(' Pivot Table for Data Exchange'!$Q$130)*100</f>
        <v>0</v>
      </c>
      <c r="I443" s="24"/>
      <c r="J443" s="82"/>
      <c r="K443" s="82"/>
      <c r="L443" s="82"/>
      <c r="M443" s="82"/>
      <c r="N443" s="82"/>
      <c r="O443" s="82"/>
      <c r="P443" s="82"/>
      <c r="Q443" s="23">
        <f t="shared" si="46"/>
        <v>0</v>
      </c>
      <c r="R443" s="23"/>
      <c r="S443" s="31"/>
      <c r="U443" s="31"/>
      <c r="V443" s="31"/>
      <c r="W443" s="31"/>
      <c r="X443" s="31"/>
      <c r="Y443" s="31"/>
      <c r="Z443" s="31"/>
      <c r="AA443" s="31"/>
      <c r="AB443" s="31"/>
      <c r="AC443" s="31"/>
      <c r="AD443" s="31"/>
      <c r="AE443" s="31"/>
      <c r="AF443" s="31"/>
      <c r="AG443" s="31"/>
      <c r="AH443" s="31"/>
      <c r="AI443" s="31"/>
      <c r="AJ443" s="31"/>
      <c r="AK443" s="31"/>
      <c r="AL443" s="31"/>
      <c r="AM443" s="31"/>
      <c r="AN443" s="31"/>
      <c r="AO443" s="31"/>
    </row>
    <row r="444" spans="1:41" ht="15.75" customHeight="1">
      <c r="A444" s="24"/>
      <c r="B444" s="89"/>
      <c r="C444" s="89"/>
      <c r="D444" s="83"/>
      <c r="E444" s="89"/>
      <c r="F444" s="89"/>
      <c r="G444" s="91"/>
      <c r="H444" s="89"/>
      <c r="I444" s="24"/>
      <c r="J444" s="82"/>
      <c r="K444" s="82"/>
      <c r="L444" s="82"/>
      <c r="M444" s="82"/>
      <c r="N444" s="82"/>
      <c r="O444" s="82"/>
      <c r="P444" s="82"/>
      <c r="Q444" s="23">
        <f t="shared" si="46"/>
        <v>0</v>
      </c>
      <c r="R444" s="23"/>
      <c r="S444" s="31"/>
      <c r="U444" s="31"/>
      <c r="V444" s="31"/>
      <c r="W444" s="31"/>
      <c r="X444" s="31"/>
      <c r="Y444" s="31"/>
      <c r="Z444" s="31"/>
      <c r="AA444" s="31"/>
      <c r="AB444" s="31"/>
      <c r="AC444" s="31"/>
      <c r="AD444" s="31"/>
      <c r="AE444" s="31"/>
      <c r="AF444" s="31"/>
      <c r="AG444" s="31"/>
      <c r="AH444" s="31"/>
      <c r="AI444" s="31"/>
      <c r="AJ444" s="31"/>
      <c r="AK444" s="31"/>
      <c r="AL444" s="31"/>
      <c r="AM444" s="31"/>
      <c r="AN444" s="31"/>
      <c r="AO444" s="31"/>
    </row>
    <row r="445" spans="1:41" ht="15.75" customHeight="1">
      <c r="A445" s="24" t="s">
        <v>224</v>
      </c>
      <c r="B445" s="89">
        <f>(' Pivot Table for Data Exchange'!$Q$151)*100</f>
        <v>80.465598857365549</v>
      </c>
      <c r="C445" s="89">
        <f>(' Pivot Table for Data Exchange'!$Q$154)*100</f>
        <v>0</v>
      </c>
      <c r="D445" s="83">
        <f>SUM(E445:G445)</f>
        <v>19.534401142634447</v>
      </c>
      <c r="E445" s="89">
        <f>(' Pivot Table for Data Exchange'!$Q$157)*100</f>
        <v>19.470133096552715</v>
      </c>
      <c r="F445" s="89">
        <f>(' Pivot Table for Data Exchange'!$Q$160)*100</f>
        <v>6.4268046081731478E-2</v>
      </c>
      <c r="G445" s="91">
        <f>(' Pivot Table for Data Exchange'!$Q$163)*100</f>
        <v>0</v>
      </c>
      <c r="H445" s="89">
        <f>(' Pivot Table for Data Exchange'!$Q$166)*100</f>
        <v>0</v>
      </c>
      <c r="I445" s="24"/>
      <c r="J445" s="82"/>
      <c r="K445" s="82"/>
      <c r="L445" s="82"/>
      <c r="M445" s="82"/>
      <c r="N445" s="82"/>
      <c r="O445" s="82"/>
      <c r="P445" s="82"/>
      <c r="Q445" s="23">
        <f t="shared" si="46"/>
        <v>100</v>
      </c>
      <c r="R445" s="23"/>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row>
    <row r="446" spans="1:41" ht="15.75" customHeight="1">
      <c r="A446" s="24" t="s">
        <v>225</v>
      </c>
      <c r="B446" s="89">
        <f>(' Pivot Table for Data Exchange'!$Q$187)*100</f>
        <v>0</v>
      </c>
      <c r="C446" s="89">
        <f>(' Pivot Table for Data Exchange'!$Q$190)*100</f>
        <v>0</v>
      </c>
      <c r="D446" s="83">
        <f>SUM(E446:G446)</f>
        <v>0</v>
      </c>
      <c r="E446" s="89">
        <f>(' Pivot Table for Data Exchange'!$Q$193)*100</f>
        <v>0</v>
      </c>
      <c r="F446" s="89">
        <f>(' Pivot Table for Data Exchange'!$Q$196)*100</f>
        <v>0</v>
      </c>
      <c r="G446" s="91">
        <f>(' Pivot Table for Data Exchange'!$Q$199)*100</f>
        <v>0</v>
      </c>
      <c r="H446" s="89">
        <f>(' Pivot Table for Data Exchange'!$Q$202)*100</f>
        <v>0</v>
      </c>
      <c r="I446" s="155"/>
      <c r="J446" s="82"/>
      <c r="K446" s="82"/>
      <c r="L446" s="82"/>
      <c r="M446" s="82"/>
      <c r="N446" s="82"/>
      <c r="O446" s="82"/>
      <c r="P446" s="82"/>
      <c r="Q446" s="23">
        <f t="shared" si="46"/>
        <v>0</v>
      </c>
      <c r="R446" s="23"/>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row>
    <row r="447" spans="1:41" ht="15.75" customHeight="1">
      <c r="A447" s="24" t="s">
        <v>226</v>
      </c>
      <c r="B447" s="31">
        <f>(' Pivot Table for Data Exchange'!$Q$223)*100</f>
        <v>100</v>
      </c>
      <c r="C447" s="89">
        <f>(' Pivot Table for Data Exchange'!$Q$226)*100</f>
        <v>0</v>
      </c>
      <c r="D447" s="83">
        <f>SUM(E447:G447)</f>
        <v>0</v>
      </c>
      <c r="E447" s="89">
        <f>(' Pivot Table for Data Exchange'!$Q$229)*100</f>
        <v>0</v>
      </c>
      <c r="F447" s="89">
        <f>(' Pivot Table for Data Exchange'!$Q$232)*100</f>
        <v>0</v>
      </c>
      <c r="G447" s="91">
        <f>(' Pivot Table for Data Exchange'!$Q$235)*100</f>
        <v>0</v>
      </c>
      <c r="H447" s="89">
        <f>(' Pivot Table for Data Exchange'!$Q$238)*100</f>
        <v>0</v>
      </c>
      <c r="I447" s="154"/>
      <c r="J447" s="82"/>
      <c r="K447" s="82"/>
      <c r="L447" s="82"/>
      <c r="M447" s="82"/>
      <c r="N447" s="82"/>
      <c r="O447" s="82"/>
      <c r="P447" s="82"/>
      <c r="Q447" s="23">
        <f>SUM(I447,C447,D447,H447)</f>
        <v>0</v>
      </c>
      <c r="R447" s="23"/>
      <c r="S447" s="31"/>
      <c r="T447" s="40"/>
      <c r="U447" s="31"/>
      <c r="V447" s="31"/>
      <c r="W447" s="31"/>
      <c r="X447" s="31"/>
      <c r="Y447" s="31"/>
      <c r="Z447" s="31"/>
      <c r="AA447" s="31"/>
      <c r="AB447" s="31"/>
      <c r="AC447" s="31"/>
      <c r="AD447" s="31"/>
      <c r="AE447" s="31"/>
      <c r="AF447" s="31"/>
      <c r="AG447" s="31"/>
      <c r="AH447" s="31"/>
      <c r="AI447" s="31"/>
      <c r="AJ447" s="31"/>
      <c r="AK447" s="31"/>
      <c r="AL447" s="31"/>
      <c r="AM447" s="31"/>
      <c r="AN447" s="31"/>
      <c r="AO447" s="31"/>
    </row>
    <row r="448" spans="1:41" ht="15.75" customHeight="1">
      <c r="A448" s="24" t="s">
        <v>227</v>
      </c>
      <c r="B448" s="89">
        <f>(' Pivot Table for Data Exchange'!$Q$259)*100</f>
        <v>0</v>
      </c>
      <c r="C448" s="89">
        <f>(' Pivot Table for Data Exchange'!$Q$262)*100</f>
        <v>0</v>
      </c>
      <c r="D448" s="83">
        <f>SUM(E448:G448)</f>
        <v>0</v>
      </c>
      <c r="E448" s="89">
        <f>(' Pivot Table for Data Exchange'!$Q$265)*100</f>
        <v>0</v>
      </c>
      <c r="F448" s="89">
        <f>(' Pivot Table for Data Exchange'!$Q$268)*100</f>
        <v>0</v>
      </c>
      <c r="G448" s="91">
        <f>(' Pivot Table for Data Exchange'!$Q$271)*100</f>
        <v>0</v>
      </c>
      <c r="H448" s="89">
        <f>(' Pivot Table for Data Exchange'!$Q$274)*100</f>
        <v>0</v>
      </c>
      <c r="I448" s="24"/>
      <c r="J448" s="82"/>
      <c r="K448" s="82"/>
      <c r="L448" s="82"/>
      <c r="M448" s="82"/>
      <c r="N448" s="82"/>
      <c r="O448" s="82"/>
      <c r="P448" s="82"/>
      <c r="Q448" s="23">
        <f t="shared" si="46"/>
        <v>0</v>
      </c>
      <c r="R448" s="23"/>
      <c r="S448" s="31"/>
      <c r="U448" s="31"/>
      <c r="V448" s="31"/>
      <c r="W448" s="31"/>
      <c r="X448" s="31"/>
      <c r="Y448" s="31"/>
      <c r="Z448" s="31"/>
      <c r="AA448" s="31"/>
      <c r="AB448" s="31"/>
      <c r="AC448" s="31"/>
      <c r="AD448" s="31"/>
      <c r="AE448" s="31"/>
      <c r="AF448" s="31"/>
      <c r="AG448" s="31"/>
      <c r="AH448" s="31"/>
      <c r="AI448" s="31"/>
      <c r="AJ448" s="31"/>
      <c r="AK448" s="31"/>
      <c r="AL448" s="31"/>
      <c r="AM448" s="31"/>
      <c r="AN448" s="31"/>
      <c r="AO448" s="31"/>
    </row>
    <row r="449" spans="1:41" ht="15.75" customHeight="1">
      <c r="A449" s="24"/>
      <c r="B449" s="89"/>
      <c r="C449" s="89"/>
      <c r="D449" s="83"/>
      <c r="E449" s="89"/>
      <c r="F449" s="89"/>
      <c r="G449" s="91"/>
      <c r="H449" s="89"/>
      <c r="I449" s="24"/>
      <c r="J449" s="82"/>
      <c r="K449" s="82"/>
      <c r="L449" s="82"/>
      <c r="M449" s="82"/>
      <c r="N449" s="82"/>
      <c r="O449" s="82"/>
      <c r="P449" s="82"/>
      <c r="Q449" s="23">
        <f t="shared" si="46"/>
        <v>0</v>
      </c>
      <c r="R449" s="23"/>
      <c r="S449" s="31"/>
      <c r="U449" s="31"/>
      <c r="V449" s="31"/>
      <c r="W449" s="31"/>
      <c r="X449" s="31"/>
      <c r="Y449" s="31"/>
      <c r="Z449" s="31"/>
      <c r="AA449" s="31"/>
      <c r="AB449" s="31"/>
      <c r="AC449" s="31"/>
      <c r="AD449" s="31"/>
      <c r="AE449" s="31"/>
      <c r="AF449" s="31"/>
      <c r="AG449" s="31"/>
      <c r="AH449" s="31"/>
      <c r="AI449" s="31"/>
      <c r="AJ449" s="31"/>
      <c r="AK449" s="31"/>
      <c r="AL449" s="31"/>
      <c r="AM449" s="31"/>
      <c r="AN449" s="31"/>
      <c r="AO449" s="31"/>
    </row>
    <row r="450" spans="1:41" ht="15.75" customHeight="1">
      <c r="A450" s="24" t="s">
        <v>204</v>
      </c>
      <c r="B450" s="89">
        <f>(' Pivot Table for Data Exchange'!$Q$295)*100</f>
        <v>0</v>
      </c>
      <c r="C450" s="89">
        <f>(' Pivot Table for Data Exchange'!$Q$298)*100</f>
        <v>0</v>
      </c>
      <c r="D450" s="83">
        <f>SUM(E450:G450)</f>
        <v>0</v>
      </c>
      <c r="E450" s="89">
        <f>(' Pivot Table for Data Exchange'!$Q$301)*100</f>
        <v>0</v>
      </c>
      <c r="F450" s="89">
        <f>(' Pivot Table for Data Exchange'!$Q$304)*100</f>
        <v>0</v>
      </c>
      <c r="G450" s="91">
        <f>(' Pivot Table for Data Exchange'!$Q$307)*100</f>
        <v>0</v>
      </c>
      <c r="H450" s="89">
        <f>(' Pivot Table for Data Exchange'!$Q$310)*100</f>
        <v>0</v>
      </c>
      <c r="I450" s="24"/>
      <c r="J450" s="82"/>
      <c r="K450" s="82"/>
      <c r="L450" s="82"/>
      <c r="M450" s="82"/>
      <c r="N450" s="82"/>
      <c r="O450" s="82"/>
      <c r="P450" s="82"/>
      <c r="Q450" s="23">
        <f t="shared" si="46"/>
        <v>0</v>
      </c>
      <c r="R450" s="23"/>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row>
    <row r="451" spans="1:41" ht="15.75" customHeight="1">
      <c r="A451" s="24" t="s">
        <v>212</v>
      </c>
      <c r="B451" s="89">
        <f>(' Pivot Table for Data Exchange'!$Q$331)*100</f>
        <v>0</v>
      </c>
      <c r="C451" s="89">
        <f>(' Pivot Table for Data Exchange'!$Q$334)*100</f>
        <v>0</v>
      </c>
      <c r="D451" s="83">
        <f>SUM(E451:G451)</f>
        <v>0</v>
      </c>
      <c r="E451" s="89">
        <f>(' Pivot Table for Data Exchange'!$Q$337)*100</f>
        <v>0</v>
      </c>
      <c r="F451" s="89">
        <f>(' Pivot Table for Data Exchange'!$Q$340)*100</f>
        <v>0</v>
      </c>
      <c r="G451" s="91">
        <f>(' Pivot Table for Data Exchange'!$Q$343)*100</f>
        <v>0</v>
      </c>
      <c r="H451" s="89">
        <f>(' Pivot Table for Data Exchange'!$Q$346)*100</f>
        <v>0</v>
      </c>
      <c r="I451" s="24"/>
      <c r="J451" s="82"/>
      <c r="K451" s="82"/>
      <c r="L451" s="82"/>
      <c r="M451" s="82"/>
      <c r="N451" s="82"/>
      <c r="O451" s="82"/>
      <c r="P451" s="82"/>
      <c r="Q451" s="23">
        <f t="shared" si="46"/>
        <v>0</v>
      </c>
      <c r="R451" s="23"/>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row>
    <row r="452" spans="1:41" ht="15.75" customHeight="1">
      <c r="A452" s="24" t="s">
        <v>205</v>
      </c>
      <c r="B452" s="89">
        <f>(' Pivot Table for Data Exchange'!$Q$367)*100</f>
        <v>0</v>
      </c>
      <c r="C452" s="89">
        <f>(' Pivot Table for Data Exchange'!$Q$370)*100</f>
        <v>0</v>
      </c>
      <c r="D452" s="83">
        <f>SUM(E452:G452)</f>
        <v>0</v>
      </c>
      <c r="E452" s="89">
        <f>(' Pivot Table for Data Exchange'!$Q$373)*100</f>
        <v>0</v>
      </c>
      <c r="F452" s="89">
        <f>(' Pivot Table for Data Exchange'!$Q$376)*100</f>
        <v>0</v>
      </c>
      <c r="G452" s="91">
        <f>(' Pivot Table for Data Exchange'!$Q$379)*100</f>
        <v>0</v>
      </c>
      <c r="H452" s="89">
        <f>(' Pivot Table for Data Exchange'!$Q$382)*100</f>
        <v>0</v>
      </c>
      <c r="I452" s="24"/>
      <c r="J452" s="82"/>
      <c r="K452" s="82"/>
      <c r="L452" s="82"/>
      <c r="M452" s="82"/>
      <c r="N452" s="82"/>
      <c r="O452" s="82"/>
      <c r="P452" s="82"/>
      <c r="Q452" s="23">
        <f t="shared" si="46"/>
        <v>0</v>
      </c>
      <c r="R452" s="23"/>
      <c r="S452" s="31"/>
      <c r="T452" s="40"/>
      <c r="U452" s="31"/>
      <c r="V452" s="31"/>
      <c r="W452" s="31"/>
      <c r="X452" s="31"/>
      <c r="Y452" s="31"/>
      <c r="Z452" s="31"/>
      <c r="AA452" s="31"/>
      <c r="AB452" s="31"/>
      <c r="AC452" s="31"/>
      <c r="AD452" s="31"/>
      <c r="AE452" s="31"/>
      <c r="AF452" s="31"/>
      <c r="AG452" s="31"/>
      <c r="AH452" s="31"/>
      <c r="AI452" s="31"/>
      <c r="AJ452" s="31"/>
      <c r="AK452" s="31"/>
      <c r="AL452" s="31"/>
      <c r="AM452" s="31"/>
      <c r="AN452" s="31"/>
      <c r="AO452" s="31"/>
    </row>
    <row r="453" spans="1:41" ht="15.75" customHeight="1">
      <c r="A453" s="24" t="s">
        <v>228</v>
      </c>
      <c r="B453" s="89">
        <f>(' Pivot Table for Data Exchange'!$Q$403)*100</f>
        <v>0</v>
      </c>
      <c r="C453" s="89">
        <f>(' Pivot Table for Data Exchange'!$Q$406)*100</f>
        <v>0</v>
      </c>
      <c r="D453" s="83">
        <f>SUM(E453:G453)</f>
        <v>0</v>
      </c>
      <c r="E453" s="89">
        <f>(' Pivot Table for Data Exchange'!$Q$409)*100</f>
        <v>0</v>
      </c>
      <c r="F453" s="89">
        <f>(' Pivot Table for Data Exchange'!$Q$412)*100</f>
        <v>0</v>
      </c>
      <c r="G453" s="91">
        <f>(' Pivot Table for Data Exchange'!$Q$415)*100</f>
        <v>0</v>
      </c>
      <c r="H453" s="89">
        <f>(' Pivot Table for Data Exchange'!$Q$418)*100</f>
        <v>0</v>
      </c>
      <c r="I453" s="24"/>
      <c r="J453" s="82"/>
      <c r="K453" s="82"/>
      <c r="L453" s="82"/>
      <c r="M453" s="82"/>
      <c r="N453" s="82"/>
      <c r="O453" s="82"/>
      <c r="P453" s="82"/>
      <c r="Q453" s="23">
        <f t="shared" si="46"/>
        <v>0</v>
      </c>
      <c r="R453" s="23"/>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row>
    <row r="454" spans="1:41" ht="15.75" customHeight="1">
      <c r="A454" s="24"/>
      <c r="B454" s="89"/>
      <c r="C454" s="89"/>
      <c r="D454" s="83"/>
      <c r="E454" s="89"/>
      <c r="F454" s="89"/>
      <c r="G454" s="91"/>
      <c r="H454" s="89"/>
      <c r="I454" s="24"/>
      <c r="J454" s="82"/>
      <c r="K454" s="82"/>
      <c r="L454" s="82"/>
      <c r="M454" s="82"/>
      <c r="N454" s="82"/>
      <c r="O454" s="82"/>
      <c r="P454" s="82"/>
      <c r="Q454" s="23">
        <f t="shared" si="46"/>
        <v>0</v>
      </c>
      <c r="R454" s="23"/>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row>
    <row r="455" spans="1:41" ht="15.75" customHeight="1">
      <c r="A455" s="24" t="s">
        <v>229</v>
      </c>
      <c r="B455" s="89">
        <f>(' Pivot Table for Data Exchange'!$Q$439)*100</f>
        <v>100</v>
      </c>
      <c r="C455" s="89">
        <f>(' Pivot Table for Data Exchange'!$Q$442)*100</f>
        <v>0</v>
      </c>
      <c r="D455" s="83">
        <f>SUM(E455:G455)</f>
        <v>0</v>
      </c>
      <c r="E455" s="89">
        <f>(' Pivot Table for Data Exchange'!$Q$445)*100</f>
        <v>0</v>
      </c>
      <c r="F455" s="89">
        <f>(' Pivot Table for Data Exchange'!$Q$448)*100</f>
        <v>0</v>
      </c>
      <c r="G455" s="91">
        <f>(' Pivot Table for Data Exchange'!$Q$451)*100</f>
        <v>0</v>
      </c>
      <c r="H455" s="89">
        <f>(' Pivot Table for Data Exchange'!$Q$454)*100</f>
        <v>0</v>
      </c>
      <c r="I455" s="24"/>
      <c r="J455" s="82"/>
      <c r="K455" s="82"/>
      <c r="L455" s="82"/>
      <c r="M455" s="82"/>
      <c r="N455" s="82"/>
      <c r="O455" s="82"/>
      <c r="P455" s="82"/>
      <c r="Q455" s="23">
        <f t="shared" si="46"/>
        <v>100</v>
      </c>
      <c r="R455" s="23"/>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row>
    <row r="456" spans="1:41" ht="15.75" customHeight="1">
      <c r="A456" s="24" t="s">
        <v>213</v>
      </c>
      <c r="B456" s="89">
        <f>(' Pivot Table for Data Exchange'!$Q$475)*100</f>
        <v>0</v>
      </c>
      <c r="C456" s="89">
        <f>(' Pivot Table for Data Exchange'!$Q$478)*100</f>
        <v>0</v>
      </c>
      <c r="D456" s="83">
        <f>SUM(E456:G456)</f>
        <v>0</v>
      </c>
      <c r="E456" s="89">
        <f>(' Pivot Table for Data Exchange'!$Q$481)*100</f>
        <v>0</v>
      </c>
      <c r="F456" s="89">
        <f>(' Pivot Table for Data Exchange'!$Q$484)*100</f>
        <v>0</v>
      </c>
      <c r="G456" s="91">
        <f>(' Pivot Table for Data Exchange'!$Q$487)*100</f>
        <v>0</v>
      </c>
      <c r="H456" s="89">
        <f>(' Pivot Table for Data Exchange'!$Q$490)*100</f>
        <v>0</v>
      </c>
      <c r="I456" s="24"/>
      <c r="J456" s="82"/>
      <c r="K456" s="82"/>
      <c r="L456" s="82"/>
      <c r="M456" s="82"/>
      <c r="N456" s="82"/>
      <c r="O456" s="82"/>
      <c r="P456" s="82"/>
      <c r="Q456" s="23">
        <f t="shared" si="46"/>
        <v>0</v>
      </c>
      <c r="R456" s="23"/>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row>
    <row r="457" spans="1:41" ht="15.75" customHeight="1">
      <c r="A457" s="24" t="s">
        <v>230</v>
      </c>
      <c r="B457" s="89">
        <f>(' Pivot Table for Data Exchange'!$Q$511)*100</f>
        <v>0</v>
      </c>
      <c r="C457" s="89">
        <f>(' Pivot Table for Data Exchange'!$Q$514)*100</f>
        <v>0</v>
      </c>
      <c r="D457" s="83">
        <f>SUM(E457:G457)</f>
        <v>0</v>
      </c>
      <c r="E457" s="89">
        <f>(' Pivot Table for Data Exchange'!$Q$517)*100</f>
        <v>0</v>
      </c>
      <c r="F457" s="89">
        <f>(' Pivot Table for Data Exchange'!$Q$520)*100</f>
        <v>0</v>
      </c>
      <c r="G457" s="91">
        <f>(' Pivot Table for Data Exchange'!$Q$523)*100</f>
        <v>0</v>
      </c>
      <c r="H457" s="89">
        <f>(' Pivot Table for Data Exchange'!$Q$526)*100</f>
        <v>0</v>
      </c>
      <c r="I457" s="24"/>
      <c r="J457" s="82"/>
      <c r="K457" s="82"/>
      <c r="L457" s="82"/>
      <c r="M457" s="82"/>
      <c r="N457" s="82"/>
      <c r="O457" s="82"/>
      <c r="P457" s="82"/>
      <c r="Q457" s="23">
        <f t="shared" si="46"/>
        <v>0</v>
      </c>
      <c r="R457" s="23"/>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row>
    <row r="458" spans="1:41" ht="15.75" customHeight="1">
      <c r="A458" s="18" t="s">
        <v>206</v>
      </c>
      <c r="B458" s="92">
        <f>(' Pivot Table for Data Exchange'!$Q$547)*100</f>
        <v>0</v>
      </c>
      <c r="C458" s="92">
        <f>(' Pivot Table for Data Exchange'!$Q$550)*100</f>
        <v>0</v>
      </c>
      <c r="D458" s="84">
        <f>SUM(E458:G458)</f>
        <v>0</v>
      </c>
      <c r="E458" s="92">
        <f>(' Pivot Table for Data Exchange'!$Q$553)*100</f>
        <v>0</v>
      </c>
      <c r="F458" s="92">
        <f>(' Pivot Table for Data Exchange'!$Q$556)*100</f>
        <v>0</v>
      </c>
      <c r="G458" s="93">
        <f>(' Pivot Table for Data Exchange'!$Q$559)*100</f>
        <v>0</v>
      </c>
      <c r="H458" s="92">
        <f>(' Pivot Table for Data Exchange'!$Q$562)*100</f>
        <v>0</v>
      </c>
      <c r="I458" s="24"/>
      <c r="J458" s="82"/>
      <c r="K458" s="82"/>
      <c r="L458" s="82"/>
      <c r="M458" s="82"/>
      <c r="N458" s="82"/>
      <c r="O458" s="82"/>
      <c r="P458" s="82"/>
      <c r="Q458" s="23">
        <f>SUM(B458,C458,D458,H458)</f>
        <v>0</v>
      </c>
      <c r="R458" s="23"/>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row>
    <row r="459" spans="1:41" s="45" customFormat="1" ht="18" customHeight="1">
      <c r="A459" s="85" t="s">
        <v>35</v>
      </c>
      <c r="B459" s="49"/>
      <c r="C459" s="49"/>
      <c r="D459" s="50"/>
      <c r="E459" s="49"/>
      <c r="F459" s="50"/>
      <c r="G459" s="50"/>
      <c r="H459" s="49"/>
      <c r="I459" s="85"/>
      <c r="J459" s="49"/>
      <c r="K459" s="49"/>
      <c r="L459" s="50"/>
      <c r="M459" s="49"/>
      <c r="N459" s="50"/>
      <c r="O459" s="50"/>
      <c r="P459" s="49"/>
      <c r="Q459" s="49"/>
      <c r="R459" s="49"/>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row>
    <row r="460" spans="1:41" s="45" customFormat="1" ht="18" customHeight="1">
      <c r="A460" s="85"/>
      <c r="B460" s="49"/>
      <c r="C460" s="49"/>
      <c r="D460" s="50"/>
      <c r="E460" s="49"/>
      <c r="F460" s="50"/>
      <c r="G460" s="50"/>
      <c r="H460" s="49"/>
      <c r="I460" s="85"/>
      <c r="J460" s="49"/>
      <c r="K460" s="49"/>
      <c r="L460" s="50"/>
      <c r="M460" s="49"/>
      <c r="N460" s="50"/>
      <c r="O460" s="50"/>
      <c r="P460" s="49"/>
      <c r="Q460" s="49"/>
      <c r="R460" s="49"/>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row>
    <row r="461" spans="1:41" s="45" customFormat="1" ht="13.5" customHeight="1">
      <c r="A461" s="85"/>
      <c r="B461" s="44"/>
      <c r="H461" s="572" t="s">
        <v>889</v>
      </c>
      <c r="I461" s="85"/>
      <c r="P461" s="46"/>
      <c r="Q461" s="47"/>
      <c r="R461" s="48"/>
    </row>
    <row r="462" spans="1:41" s="45" customFormat="1" ht="13.5" customHeight="1">
      <c r="A462" s="86"/>
      <c r="H462" s="43"/>
      <c r="I462" s="86"/>
      <c r="Q462" s="47"/>
      <c r="R462" s="48"/>
    </row>
    <row r="463" spans="1:41" s="45" customFormat="1" ht="13.5" customHeight="1">
      <c r="A463" s="86"/>
      <c r="H463" s="43"/>
      <c r="I463" s="86"/>
      <c r="Q463" s="47"/>
      <c r="R463" s="48"/>
    </row>
    <row r="464" spans="1:41">
      <c r="I464" s="29"/>
      <c r="J464" s="24"/>
      <c r="K464" s="24"/>
      <c r="L464" s="24"/>
      <c r="M464" s="24"/>
      <c r="N464" s="24"/>
      <c r="O464" s="24"/>
      <c r="P464" s="24"/>
    </row>
    <row r="465" spans="9:16">
      <c r="I465" s="29"/>
      <c r="J465" s="24"/>
      <c r="K465" s="24"/>
      <c r="L465" s="24"/>
      <c r="M465" s="24"/>
      <c r="N465" s="24"/>
      <c r="O465" s="24"/>
      <c r="P465" s="24"/>
    </row>
    <row r="466" spans="9:16">
      <c r="I466" s="29"/>
      <c r="J466" s="24"/>
      <c r="K466" s="24"/>
      <c r="L466" s="24"/>
      <c r="M466" s="24"/>
      <c r="N466" s="24"/>
      <c r="O466" s="24"/>
      <c r="P466" s="24"/>
    </row>
    <row r="467" spans="9:16">
      <c r="I467" s="29"/>
      <c r="J467" s="24"/>
      <c r="K467" s="24"/>
      <c r="L467" s="24"/>
      <c r="M467" s="24"/>
      <c r="N467" s="24"/>
      <c r="O467" s="24"/>
      <c r="P467" s="24"/>
    </row>
    <row r="468" spans="9:16">
      <c r="I468" s="29"/>
      <c r="J468" s="24"/>
      <c r="K468" s="24"/>
      <c r="L468" s="24"/>
      <c r="M468" s="24"/>
      <c r="N468" s="24"/>
      <c r="O468" s="24"/>
      <c r="P468" s="24"/>
    </row>
    <row r="469" spans="9:16">
      <c r="I469" s="29"/>
      <c r="J469" s="24"/>
      <c r="K469" s="24"/>
      <c r="L469" s="24"/>
      <c r="M469" s="24"/>
      <c r="N469" s="24"/>
      <c r="O469" s="24"/>
      <c r="P469" s="24"/>
    </row>
    <row r="470" spans="9:16">
      <c r="I470" s="29"/>
      <c r="J470" s="24"/>
      <c r="K470" s="24"/>
      <c r="L470" s="24"/>
      <c r="M470" s="24"/>
      <c r="N470" s="24"/>
      <c r="O470" s="24"/>
      <c r="P470" s="24"/>
    </row>
    <row r="471" spans="9:16">
      <c r="I471" s="29"/>
      <c r="J471" s="24"/>
      <c r="K471" s="24"/>
      <c r="L471" s="24"/>
      <c r="M471" s="24"/>
      <c r="N471" s="24"/>
      <c r="O471" s="24"/>
      <c r="P471" s="24"/>
    </row>
    <row r="472" spans="9:16">
      <c r="I472" s="29"/>
      <c r="J472" s="24"/>
      <c r="K472" s="24"/>
      <c r="L472" s="24"/>
      <c r="M472" s="24"/>
      <c r="N472" s="24"/>
      <c r="O472" s="24"/>
      <c r="P472" s="24"/>
    </row>
    <row r="473" spans="9:16">
      <c r="I473" s="29"/>
      <c r="J473" s="24"/>
      <c r="K473" s="24"/>
      <c r="L473" s="24"/>
      <c r="M473" s="24"/>
      <c r="N473" s="24"/>
      <c r="O473" s="24"/>
      <c r="P473" s="24"/>
    </row>
    <row r="474" spans="9:16">
      <c r="I474" s="29"/>
      <c r="J474" s="24"/>
      <c r="K474" s="24"/>
      <c r="L474" s="24"/>
      <c r="M474" s="24"/>
      <c r="N474" s="24"/>
      <c r="O474" s="24"/>
      <c r="P474" s="24"/>
    </row>
    <row r="475" spans="9:16">
      <c r="I475" s="29"/>
      <c r="J475" s="24"/>
      <c r="K475" s="24"/>
      <c r="L475" s="24"/>
      <c r="M475" s="24"/>
      <c r="N475" s="24"/>
      <c r="O475" s="24"/>
      <c r="P475" s="24"/>
    </row>
    <row r="476" spans="9:16">
      <c r="I476" s="29"/>
      <c r="J476" s="24"/>
      <c r="K476" s="24"/>
      <c r="L476" s="24"/>
      <c r="M476" s="24"/>
      <c r="N476" s="24"/>
      <c r="O476" s="24"/>
      <c r="P476" s="24"/>
    </row>
    <row r="477" spans="9:16">
      <c r="I477" s="29"/>
      <c r="J477" s="24"/>
      <c r="K477" s="24"/>
      <c r="L477" s="24"/>
      <c r="M477" s="24"/>
      <c r="N477" s="24"/>
      <c r="O477" s="24"/>
      <c r="P477" s="24"/>
    </row>
    <row r="478" spans="9:16">
      <c r="I478" s="29"/>
      <c r="J478" s="24"/>
      <c r="K478" s="24"/>
      <c r="L478" s="24"/>
      <c r="M478" s="24"/>
      <c r="N478" s="24"/>
      <c r="O478" s="24"/>
      <c r="P478" s="24"/>
    </row>
    <row r="479" spans="9:16">
      <c r="I479" s="29"/>
      <c r="J479" s="24"/>
      <c r="K479" s="24"/>
      <c r="L479" s="24"/>
      <c r="M479" s="24"/>
      <c r="N479" s="24"/>
      <c r="O479" s="24"/>
      <c r="P479" s="24"/>
    </row>
    <row r="480" spans="9:16">
      <c r="I480" s="29"/>
      <c r="J480" s="24"/>
      <c r="K480" s="24"/>
      <c r="L480" s="24"/>
      <c r="M480" s="24"/>
      <c r="N480" s="24"/>
      <c r="O480" s="24"/>
      <c r="P480" s="24"/>
    </row>
    <row r="481" spans="9:16">
      <c r="I481" s="29"/>
      <c r="J481" s="24"/>
      <c r="K481" s="24"/>
      <c r="L481" s="24"/>
      <c r="M481" s="24"/>
      <c r="N481" s="24"/>
      <c r="O481" s="24"/>
      <c r="P481" s="24"/>
    </row>
    <row r="482" spans="9:16">
      <c r="I482" s="29"/>
      <c r="J482" s="24"/>
      <c r="K482" s="24"/>
      <c r="L482" s="24"/>
      <c r="M482" s="24"/>
      <c r="N482" s="24"/>
      <c r="O482" s="24"/>
      <c r="P482" s="24"/>
    </row>
    <row r="483" spans="9:16">
      <c r="I483" s="29"/>
      <c r="J483" s="24"/>
      <c r="K483" s="24"/>
      <c r="L483" s="24"/>
      <c r="M483" s="24"/>
      <c r="N483" s="24"/>
      <c r="O483" s="24"/>
      <c r="P483" s="24"/>
    </row>
    <row r="484" spans="9:16">
      <c r="I484" s="29"/>
      <c r="J484" s="24"/>
      <c r="K484" s="24"/>
      <c r="L484" s="24"/>
      <c r="M484" s="24"/>
      <c r="N484" s="24"/>
      <c r="O484" s="24"/>
      <c r="P484" s="24"/>
    </row>
    <row r="485" spans="9:16">
      <c r="I485" s="29"/>
      <c r="J485" s="24"/>
      <c r="K485" s="24"/>
      <c r="L485" s="24"/>
      <c r="M485" s="24"/>
      <c r="N485" s="24"/>
      <c r="O485" s="24"/>
      <c r="P485" s="24"/>
    </row>
    <row r="486" spans="9:16">
      <c r="I486" s="29"/>
      <c r="J486" s="24"/>
      <c r="K486" s="24"/>
      <c r="L486" s="24"/>
      <c r="M486" s="24"/>
      <c r="N486" s="24"/>
      <c r="O486" s="24"/>
      <c r="P486" s="24"/>
    </row>
    <row r="487" spans="9:16">
      <c r="I487" s="29"/>
      <c r="J487" s="24"/>
      <c r="K487" s="24"/>
      <c r="L487" s="24"/>
      <c r="M487" s="24"/>
      <c r="N487" s="24"/>
      <c r="O487" s="24"/>
      <c r="P487" s="24"/>
    </row>
    <row r="488" spans="9:16">
      <c r="I488" s="29"/>
      <c r="J488" s="24"/>
      <c r="K488" s="24"/>
      <c r="L488" s="24"/>
      <c r="M488" s="24"/>
      <c r="N488" s="24"/>
      <c r="O488" s="24"/>
      <c r="P488" s="24"/>
    </row>
    <row r="489" spans="9:16">
      <c r="I489" s="29"/>
      <c r="J489" s="24"/>
      <c r="K489" s="24"/>
      <c r="L489" s="24"/>
      <c r="M489" s="24"/>
      <c r="N489" s="24"/>
      <c r="O489" s="24"/>
      <c r="P489" s="24"/>
    </row>
    <row r="490" spans="9:16">
      <c r="I490" s="29"/>
      <c r="J490" s="24"/>
      <c r="K490" s="24"/>
      <c r="L490" s="24"/>
      <c r="M490" s="24"/>
      <c r="N490" s="24"/>
      <c r="O490" s="24"/>
      <c r="P490" s="24"/>
    </row>
    <row r="491" spans="9:16">
      <c r="I491" s="29"/>
      <c r="J491" s="24"/>
      <c r="K491" s="24"/>
      <c r="L491" s="24"/>
      <c r="M491" s="24"/>
      <c r="N491" s="24"/>
      <c r="O491" s="24"/>
      <c r="P491" s="24"/>
    </row>
    <row r="492" spans="9:16">
      <c r="I492" s="29"/>
      <c r="J492" s="24"/>
      <c r="K492" s="24"/>
      <c r="L492" s="24"/>
      <c r="M492" s="24"/>
      <c r="N492" s="24"/>
      <c r="O492" s="24"/>
      <c r="P492" s="24"/>
    </row>
    <row r="493" spans="9:16">
      <c r="I493" s="29"/>
      <c r="J493" s="24"/>
      <c r="K493" s="24"/>
      <c r="L493" s="24"/>
      <c r="M493" s="24"/>
      <c r="N493" s="24"/>
      <c r="O493" s="24"/>
      <c r="P493" s="24"/>
    </row>
    <row r="494" spans="9:16">
      <c r="I494" s="29"/>
      <c r="J494" s="24"/>
      <c r="K494" s="24"/>
      <c r="L494" s="24"/>
      <c r="M494" s="24"/>
      <c r="N494" s="24"/>
      <c r="O494" s="24"/>
      <c r="P494" s="24"/>
    </row>
    <row r="495" spans="9:16">
      <c r="I495" s="29"/>
      <c r="J495" s="24"/>
      <c r="K495" s="24"/>
      <c r="L495" s="24"/>
      <c r="M495" s="24"/>
      <c r="N495" s="24"/>
      <c r="O495" s="24"/>
      <c r="P495" s="24"/>
    </row>
    <row r="496" spans="9:16">
      <c r="I496" s="29"/>
      <c r="J496" s="24"/>
      <c r="K496" s="24"/>
      <c r="L496" s="24"/>
      <c r="M496" s="24"/>
      <c r="N496" s="24"/>
      <c r="O496" s="24"/>
      <c r="P496" s="24"/>
    </row>
    <row r="497" spans="9:16">
      <c r="I497" s="29"/>
      <c r="J497" s="24"/>
      <c r="K497" s="24"/>
      <c r="L497" s="24"/>
      <c r="M497" s="24"/>
      <c r="N497" s="24"/>
      <c r="O497" s="24"/>
      <c r="P497" s="24"/>
    </row>
    <row r="498" spans="9:16">
      <c r="I498" s="29"/>
      <c r="J498" s="24"/>
      <c r="K498" s="24"/>
      <c r="L498" s="24"/>
      <c r="M498" s="24"/>
      <c r="N498" s="24"/>
      <c r="O498" s="24"/>
      <c r="P498" s="24"/>
    </row>
    <row r="499" spans="9:16">
      <c r="I499" s="29"/>
      <c r="J499" s="24"/>
      <c r="K499" s="24"/>
      <c r="L499" s="24"/>
      <c r="M499" s="24"/>
      <c r="N499" s="24"/>
      <c r="O499" s="24"/>
      <c r="P499" s="24"/>
    </row>
    <row r="500" spans="9:16">
      <c r="I500" s="29"/>
      <c r="J500" s="24"/>
      <c r="K500" s="24"/>
      <c r="L500" s="24"/>
      <c r="M500" s="24"/>
      <c r="N500" s="24"/>
      <c r="O500" s="24"/>
      <c r="P500" s="24"/>
    </row>
    <row r="501" spans="9:16">
      <c r="I501" s="29"/>
      <c r="J501" s="24"/>
      <c r="K501" s="24"/>
      <c r="L501" s="24"/>
      <c r="M501" s="24"/>
      <c r="N501" s="24"/>
      <c r="O501" s="24"/>
      <c r="P501" s="24"/>
    </row>
    <row r="502" spans="9:16">
      <c r="I502" s="29"/>
      <c r="J502" s="24"/>
      <c r="K502" s="24"/>
      <c r="L502" s="24"/>
      <c r="M502" s="24"/>
      <c r="N502" s="24"/>
      <c r="O502" s="24"/>
      <c r="P502" s="24"/>
    </row>
    <row r="503" spans="9:16">
      <c r="I503" s="29"/>
      <c r="J503" s="24"/>
      <c r="K503" s="24"/>
      <c r="L503" s="24"/>
      <c r="M503" s="24"/>
      <c r="N503" s="24"/>
      <c r="O503" s="24"/>
      <c r="P503" s="24"/>
    </row>
    <row r="504" spans="9:16">
      <c r="I504" s="29"/>
      <c r="J504" s="24"/>
      <c r="K504" s="24"/>
      <c r="L504" s="24"/>
      <c r="M504" s="24"/>
      <c r="N504" s="24"/>
      <c r="O504" s="24"/>
      <c r="P504" s="24"/>
    </row>
    <row r="505" spans="9:16">
      <c r="I505" s="29"/>
      <c r="J505" s="24"/>
      <c r="K505" s="24"/>
      <c r="L505" s="24"/>
      <c r="M505" s="24"/>
      <c r="N505" s="24"/>
      <c r="O505" s="24"/>
      <c r="P505" s="24"/>
    </row>
    <row r="506" spans="9:16">
      <c r="I506" s="29"/>
      <c r="J506" s="24"/>
      <c r="K506" s="24"/>
      <c r="L506" s="24"/>
      <c r="M506" s="24"/>
      <c r="N506" s="24"/>
      <c r="O506" s="24"/>
      <c r="P506" s="24"/>
    </row>
    <row r="507" spans="9:16">
      <c r="I507" s="29"/>
      <c r="J507" s="24"/>
      <c r="K507" s="24"/>
      <c r="L507" s="24"/>
      <c r="M507" s="24"/>
      <c r="N507" s="24"/>
      <c r="O507" s="24"/>
      <c r="P507" s="24"/>
    </row>
    <row r="508" spans="9:16">
      <c r="I508" s="29"/>
      <c r="J508" s="24"/>
      <c r="K508" s="24"/>
      <c r="L508" s="24"/>
      <c r="M508" s="24"/>
      <c r="N508" s="24"/>
      <c r="O508" s="24"/>
      <c r="P508" s="24"/>
    </row>
    <row r="509" spans="9:16">
      <c r="I509" s="29"/>
      <c r="J509" s="24"/>
      <c r="K509" s="24"/>
      <c r="L509" s="24"/>
      <c r="M509" s="24"/>
      <c r="N509" s="24"/>
      <c r="O509" s="24"/>
      <c r="P509" s="24"/>
    </row>
    <row r="510" spans="9:16">
      <c r="I510" s="29"/>
      <c r="J510" s="24"/>
      <c r="K510" s="24"/>
      <c r="L510" s="24"/>
      <c r="M510" s="24"/>
      <c r="N510" s="24"/>
      <c r="O510" s="24"/>
      <c r="P510" s="24"/>
    </row>
    <row r="511" spans="9:16">
      <c r="I511" s="29"/>
      <c r="J511" s="24"/>
      <c r="K511" s="24"/>
      <c r="L511" s="24"/>
      <c r="M511" s="24"/>
      <c r="N511" s="24"/>
      <c r="O511" s="24"/>
      <c r="P511" s="24"/>
    </row>
    <row r="512" spans="9:16">
      <c r="I512" s="29"/>
      <c r="J512" s="24"/>
      <c r="K512" s="24"/>
      <c r="L512" s="24"/>
      <c r="M512" s="24"/>
      <c r="N512" s="24"/>
      <c r="O512" s="24"/>
      <c r="P512" s="24"/>
    </row>
    <row r="513" spans="9:16">
      <c r="I513" s="29"/>
      <c r="J513" s="24"/>
      <c r="K513" s="24"/>
      <c r="L513" s="24"/>
      <c r="M513" s="24"/>
      <c r="N513" s="24"/>
      <c r="O513" s="24"/>
      <c r="P513" s="24"/>
    </row>
    <row r="514" spans="9:16">
      <c r="I514" s="29"/>
      <c r="J514" s="24"/>
      <c r="K514" s="24"/>
      <c r="L514" s="24"/>
      <c r="M514" s="24"/>
      <c r="N514" s="24"/>
      <c r="O514" s="24"/>
      <c r="P514" s="24"/>
    </row>
    <row r="515" spans="9:16">
      <c r="I515" s="29"/>
      <c r="J515" s="24"/>
      <c r="K515" s="24"/>
      <c r="L515" s="24"/>
      <c r="M515" s="24"/>
      <c r="N515" s="24"/>
      <c r="O515" s="24"/>
      <c r="P515" s="24"/>
    </row>
    <row r="516" spans="9:16">
      <c r="I516" s="29"/>
      <c r="J516" s="24"/>
      <c r="K516" s="24"/>
      <c r="L516" s="24"/>
      <c r="M516" s="24"/>
      <c r="N516" s="24"/>
      <c r="O516" s="24"/>
      <c r="P516" s="24"/>
    </row>
    <row r="517" spans="9:16">
      <c r="I517" s="29"/>
      <c r="J517" s="24"/>
      <c r="K517" s="24"/>
      <c r="L517" s="24"/>
      <c r="M517" s="24"/>
      <c r="N517" s="24"/>
      <c r="O517" s="24"/>
      <c r="P517" s="24"/>
    </row>
    <row r="518" spans="9:16">
      <c r="I518" s="29"/>
      <c r="J518" s="24"/>
      <c r="K518" s="24"/>
      <c r="L518" s="24"/>
      <c r="M518" s="24"/>
      <c r="N518" s="24"/>
      <c r="O518" s="24"/>
      <c r="P518" s="24"/>
    </row>
    <row r="519" spans="9:16">
      <c r="I519" s="29"/>
      <c r="J519" s="24"/>
      <c r="K519" s="24"/>
      <c r="L519" s="24"/>
      <c r="M519" s="24"/>
      <c r="N519" s="24"/>
      <c r="O519" s="24"/>
      <c r="P519" s="24"/>
    </row>
    <row r="520" spans="9:16">
      <c r="I520" s="29"/>
      <c r="J520" s="24"/>
      <c r="K520" s="24"/>
      <c r="L520" s="24"/>
      <c r="M520" s="24"/>
      <c r="N520" s="24"/>
      <c r="O520" s="24"/>
      <c r="P520" s="24"/>
    </row>
    <row r="521" spans="9:16">
      <c r="I521" s="29"/>
      <c r="J521" s="24"/>
      <c r="K521" s="24"/>
      <c r="L521" s="24"/>
      <c r="M521" s="24"/>
      <c r="N521" s="24"/>
      <c r="O521" s="24"/>
      <c r="P521" s="24"/>
    </row>
    <row r="522" spans="9:16">
      <c r="I522" s="29"/>
      <c r="J522" s="24"/>
      <c r="K522" s="24"/>
      <c r="L522" s="24"/>
      <c r="M522" s="24"/>
      <c r="N522" s="24"/>
      <c r="O522" s="24"/>
      <c r="P522" s="24"/>
    </row>
    <row r="523" spans="9:16">
      <c r="I523" s="29"/>
      <c r="J523" s="24"/>
      <c r="K523" s="24"/>
      <c r="L523" s="24"/>
      <c r="M523" s="24"/>
      <c r="N523" s="24"/>
      <c r="O523" s="24"/>
      <c r="P523" s="24"/>
    </row>
    <row r="524" spans="9:16">
      <c r="I524" s="29"/>
      <c r="J524" s="24"/>
      <c r="K524" s="24"/>
      <c r="L524" s="24"/>
      <c r="M524" s="24"/>
      <c r="N524" s="24"/>
      <c r="O524" s="24"/>
      <c r="P524" s="24"/>
    </row>
    <row r="525" spans="9:16">
      <c r="I525" s="29"/>
      <c r="J525" s="24"/>
      <c r="K525" s="24"/>
      <c r="L525" s="24"/>
      <c r="M525" s="24"/>
      <c r="N525" s="24"/>
      <c r="O525" s="24"/>
      <c r="P525" s="24"/>
    </row>
    <row r="526" spans="9:16">
      <c r="I526" s="29"/>
      <c r="J526" s="24"/>
      <c r="K526" s="24"/>
      <c r="L526" s="24"/>
      <c r="M526" s="24"/>
      <c r="N526" s="24"/>
      <c r="O526" s="24"/>
      <c r="P526" s="24"/>
    </row>
    <row r="527" spans="9:16">
      <c r="I527" s="29"/>
      <c r="J527" s="24"/>
      <c r="K527" s="24"/>
      <c r="L527" s="24"/>
      <c r="M527" s="24"/>
      <c r="N527" s="24"/>
      <c r="O527" s="24"/>
      <c r="P527" s="24"/>
    </row>
    <row r="528" spans="9:16">
      <c r="I528" s="29"/>
      <c r="J528" s="24"/>
      <c r="K528" s="24"/>
      <c r="L528" s="24"/>
      <c r="M528" s="24"/>
      <c r="N528" s="24"/>
      <c r="O528" s="24"/>
      <c r="P528" s="24"/>
    </row>
    <row r="529" spans="9:16">
      <c r="I529" s="29"/>
      <c r="J529" s="24"/>
      <c r="K529" s="24"/>
      <c r="L529" s="24"/>
      <c r="M529" s="24"/>
      <c r="N529" s="24"/>
      <c r="O529" s="24"/>
      <c r="P529" s="24"/>
    </row>
    <row r="530" spans="9:16">
      <c r="I530" s="29"/>
      <c r="J530" s="24"/>
      <c r="K530" s="24"/>
      <c r="L530" s="24"/>
      <c r="M530" s="24"/>
      <c r="N530" s="24"/>
      <c r="O530" s="24"/>
      <c r="P530" s="24"/>
    </row>
    <row r="531" spans="9:16">
      <c r="I531" s="29"/>
      <c r="J531" s="24"/>
      <c r="K531" s="24"/>
      <c r="L531" s="24"/>
      <c r="M531" s="24"/>
      <c r="N531" s="24"/>
      <c r="O531" s="24"/>
      <c r="P531" s="24"/>
    </row>
    <row r="532" spans="9:16">
      <c r="I532" s="29"/>
      <c r="J532" s="24"/>
      <c r="K532" s="24"/>
      <c r="L532" s="24"/>
      <c r="M532" s="24"/>
      <c r="N532" s="24"/>
      <c r="O532" s="24"/>
      <c r="P532" s="24"/>
    </row>
  </sheetData>
  <mergeCells count="45">
    <mergeCell ref="A215:H215"/>
    <mergeCell ref="I215:P215"/>
    <mergeCell ref="A246:H246"/>
    <mergeCell ref="A308:H308"/>
    <mergeCell ref="D224:G224"/>
    <mergeCell ref="D255:G255"/>
    <mergeCell ref="A277:H277"/>
    <mergeCell ref="Q2:X2"/>
    <mergeCell ref="A29:H29"/>
    <mergeCell ref="I29:P29"/>
    <mergeCell ref="A61:H61"/>
    <mergeCell ref="I61:P61"/>
    <mergeCell ref="A30:H30"/>
    <mergeCell ref="I30:P30"/>
    <mergeCell ref="D7:G7"/>
    <mergeCell ref="L7:O7"/>
    <mergeCell ref="D39:G39"/>
    <mergeCell ref="A123:H123"/>
    <mergeCell ref="I123:P123"/>
    <mergeCell ref="A184:H184"/>
    <mergeCell ref="I184:P184"/>
    <mergeCell ref="D162:G162"/>
    <mergeCell ref="A154:H154"/>
    <mergeCell ref="I154:P154"/>
    <mergeCell ref="D101:G101"/>
    <mergeCell ref="L39:O39"/>
    <mergeCell ref="L101:O101"/>
    <mergeCell ref="B100:H100"/>
    <mergeCell ref="A92:H92"/>
    <mergeCell ref="I92:P92"/>
    <mergeCell ref="D70:G70"/>
    <mergeCell ref="L70:O70"/>
    <mergeCell ref="D193:G193"/>
    <mergeCell ref="L132:O132"/>
    <mergeCell ref="L162:O162"/>
    <mergeCell ref="L193:O193"/>
    <mergeCell ref="D132:G132"/>
    <mergeCell ref="D438:G438"/>
    <mergeCell ref="D286:G286"/>
    <mergeCell ref="D317:G317"/>
    <mergeCell ref="D347:G347"/>
    <mergeCell ref="D378:G378"/>
    <mergeCell ref="A339:H339"/>
    <mergeCell ref="A369:H369"/>
    <mergeCell ref="D408:G408"/>
  </mergeCells>
  <phoneticPr fontId="2" type="noConversion"/>
  <conditionalFormatting sqref="Q1:R7 Q9:R1048576">
    <cfRule type="cellIs" dxfId="1746" priority="1" stopIfTrue="1" operator="notEqual">
      <formula>100</formula>
    </cfRule>
  </conditionalFormatting>
  <printOptions horizontalCentered="1"/>
  <pageMargins left="1" right="1" top="1" bottom="0.75" header="0.75" footer="0.5"/>
  <pageSetup scale="98" firstPageNumber="60" orientation="landscape" useFirstPageNumber="1" r:id="rId1"/>
  <headerFooter alignWithMargins="0">
    <oddHeader>&amp;R&amp;8SREB-State Data Exchange</oddHeader>
    <oddFooter>&amp;C&amp;P</oddFooter>
  </headerFooter>
  <rowBreaks count="17" manualBreakCount="17">
    <brk id="32" max="7" man="1"/>
    <brk id="32" min="8" max="15" man="1"/>
    <brk id="63" max="7" man="1"/>
    <brk id="94" max="7" man="1"/>
    <brk id="94" min="8" max="15" man="1"/>
    <brk id="125" max="7" man="1"/>
    <brk id="155" max="7" man="1"/>
    <brk id="155" min="8" max="15" man="1"/>
    <brk id="186" max="7" man="1"/>
    <brk id="217" max="7" man="1"/>
    <brk id="248" max="7" man="1"/>
    <brk id="279" max="7" man="1"/>
    <brk id="310" max="7" man="1"/>
    <brk id="340" max="7" man="1"/>
    <brk id="371" max="7" man="1"/>
    <brk id="401" max="7" man="1"/>
    <brk id="431" max="7" man="1"/>
  </rowBreaks>
  <colBreaks count="1" manualBreakCount="1">
    <brk id="8" max="462" man="1"/>
  </colBreaks>
  <legacyDrawing r:id="rId2"/>
</worksheet>
</file>

<file path=xl/worksheets/sheet4.xml><?xml version="1.0" encoding="utf-8"?>
<worksheet xmlns="http://schemas.openxmlformats.org/spreadsheetml/2006/main" xmlns:r="http://schemas.openxmlformats.org/officeDocument/2006/relationships">
  <sheetPr codeName="Sheet2" enableFormatConditionsCalculation="0">
    <tabColor indexed="17"/>
  </sheetPr>
  <dimension ref="A1:S621"/>
  <sheetViews>
    <sheetView showGridLines="0" zoomScale="85" workbookViewId="0">
      <pane xSplit="2" ySplit="5" topLeftCell="D27" activePane="bottomRight" state="frozen"/>
      <selection pane="topRight" activeCell="C1" sqref="C1"/>
      <selection pane="bottomLeft" activeCell="A6" sqref="A6"/>
      <selection pane="bottomRight" activeCell="H33" sqref="H33"/>
    </sheetView>
  </sheetViews>
  <sheetFormatPr defaultColWidth="9.140625" defaultRowHeight="12.75"/>
  <cols>
    <col min="1" max="1" width="8.7109375" style="111" bestFit="1" customWidth="1"/>
    <col min="2" max="2" width="28.7109375" style="111" customWidth="1"/>
    <col min="3" max="6" width="11.42578125" style="111" customWidth="1"/>
    <col min="7" max="9" width="11.42578125" style="111" bestFit="1" customWidth="1"/>
    <col min="10" max="10" width="11.5703125" style="111" customWidth="1"/>
    <col min="11" max="13" width="11.42578125" style="111" customWidth="1"/>
    <col min="14" max="14" width="11.42578125" style="111" bestFit="1" customWidth="1"/>
    <col min="15" max="15" width="11.5703125" style="111" customWidth="1"/>
    <col min="16" max="16" width="10.85546875" style="111" customWidth="1"/>
    <col min="17" max="18" width="10.85546875" style="111" bestFit="1" customWidth="1"/>
    <col min="19" max="19" width="10.5703125" style="111" customWidth="1"/>
    <col min="20" max="21" width="10.5703125" bestFit="1" customWidth="1"/>
  </cols>
  <sheetData>
    <row r="1" spans="1:19">
      <c r="A1" s="111" t="s">
        <v>189</v>
      </c>
    </row>
    <row r="3" spans="1:19">
      <c r="A3" s="407"/>
      <c r="B3" s="408"/>
      <c r="C3" s="110" t="s">
        <v>207</v>
      </c>
      <c r="D3" s="409" t="s">
        <v>190</v>
      </c>
      <c r="E3" s="409"/>
      <c r="F3" s="409"/>
      <c r="G3" s="409"/>
      <c r="H3" s="409"/>
      <c r="I3" s="409"/>
      <c r="J3" s="409"/>
      <c r="K3" s="409"/>
      <c r="L3" s="409"/>
      <c r="M3" s="409"/>
      <c r="N3" s="409"/>
      <c r="O3" s="409"/>
      <c r="P3" s="409"/>
      <c r="Q3" s="409"/>
      <c r="R3" s="409"/>
      <c r="S3" s="410"/>
    </row>
    <row r="4" spans="1:19">
      <c r="A4" s="407"/>
      <c r="B4" s="408"/>
      <c r="C4" s="110" t="s">
        <v>203</v>
      </c>
      <c r="D4" s="112"/>
      <c r="E4" s="112"/>
      <c r="F4" s="112"/>
      <c r="G4" s="112"/>
      <c r="H4" s="112"/>
      <c r="I4" s="112"/>
      <c r="J4" s="110" t="s">
        <v>203</v>
      </c>
      <c r="K4" s="110" t="s">
        <v>208</v>
      </c>
      <c r="L4" s="112"/>
      <c r="M4" s="112"/>
      <c r="N4" s="112"/>
      <c r="O4" s="110" t="s">
        <v>208</v>
      </c>
      <c r="P4" s="110" t="s">
        <v>219</v>
      </c>
      <c r="Q4" s="112"/>
      <c r="R4" s="112"/>
      <c r="S4" s="411" t="s">
        <v>219</v>
      </c>
    </row>
    <row r="5" spans="1:19">
      <c r="A5" s="407" t="s">
        <v>197</v>
      </c>
      <c r="B5" s="407" t="s">
        <v>202</v>
      </c>
      <c r="C5" s="110">
        <v>1</v>
      </c>
      <c r="D5" s="113">
        <v>2</v>
      </c>
      <c r="E5" s="113">
        <v>3</v>
      </c>
      <c r="F5" s="113">
        <v>4</v>
      </c>
      <c r="G5" s="113">
        <v>5</v>
      </c>
      <c r="H5" s="113">
        <v>6</v>
      </c>
      <c r="I5" s="113">
        <v>15</v>
      </c>
      <c r="J5" s="114"/>
      <c r="K5" s="110">
        <v>7</v>
      </c>
      <c r="L5" s="113">
        <v>8</v>
      </c>
      <c r="M5" s="113">
        <v>9</v>
      </c>
      <c r="N5" s="113">
        <v>10</v>
      </c>
      <c r="O5" s="114"/>
      <c r="P5" s="110">
        <v>12</v>
      </c>
      <c r="Q5" s="113">
        <v>13</v>
      </c>
      <c r="R5" s="113">
        <v>14</v>
      </c>
      <c r="S5" s="412"/>
    </row>
    <row r="6" spans="1:19">
      <c r="A6" s="413" t="s">
        <v>134</v>
      </c>
      <c r="B6" s="413" t="s">
        <v>127</v>
      </c>
      <c r="C6" s="432">
        <v>1430100</v>
      </c>
      <c r="D6" s="433">
        <v>146658</v>
      </c>
      <c r="E6" s="433">
        <v>748695</v>
      </c>
      <c r="F6" s="433">
        <v>400308</v>
      </c>
      <c r="G6" s="433">
        <v>49970</v>
      </c>
      <c r="H6" s="433">
        <v>73579</v>
      </c>
      <c r="I6" s="433"/>
      <c r="J6" s="434">
        <v>2849310</v>
      </c>
      <c r="K6" s="432"/>
      <c r="L6" s="433">
        <v>353317</v>
      </c>
      <c r="M6" s="433">
        <v>956300</v>
      </c>
      <c r="N6" s="433">
        <v>374277</v>
      </c>
      <c r="O6" s="434">
        <v>1683894</v>
      </c>
      <c r="P6" s="457">
        <v>36216</v>
      </c>
      <c r="Q6" s="433">
        <v>14398</v>
      </c>
      <c r="R6" s="433"/>
      <c r="S6" s="454">
        <v>50614</v>
      </c>
    </row>
    <row r="7" spans="1:19">
      <c r="A7" s="414"/>
      <c r="B7" s="447" t="s">
        <v>121</v>
      </c>
      <c r="C7" s="436">
        <v>37606</v>
      </c>
      <c r="D7" s="437">
        <v>1314</v>
      </c>
      <c r="E7" s="437">
        <v>134010</v>
      </c>
      <c r="F7" s="437">
        <v>17942</v>
      </c>
      <c r="G7" s="437">
        <v>2414</v>
      </c>
      <c r="H7" s="437">
        <v>46467</v>
      </c>
      <c r="I7" s="437">
        <v>0</v>
      </c>
      <c r="J7" s="438">
        <v>239753</v>
      </c>
      <c r="K7" s="436">
        <v>0</v>
      </c>
      <c r="L7" s="437">
        <v>43168</v>
      </c>
      <c r="M7" s="437">
        <v>86805</v>
      </c>
      <c r="N7" s="437">
        <v>61348</v>
      </c>
      <c r="O7" s="438">
        <v>191321</v>
      </c>
      <c r="P7" s="458">
        <v>3727</v>
      </c>
      <c r="Q7" s="437">
        <v>0</v>
      </c>
      <c r="R7" s="437">
        <v>0</v>
      </c>
      <c r="S7" s="455">
        <v>3727</v>
      </c>
    </row>
    <row r="8" spans="1:19">
      <c r="A8" s="414"/>
      <c r="B8" s="448" t="s">
        <v>123</v>
      </c>
      <c r="C8" s="436">
        <v>211482</v>
      </c>
      <c r="D8" s="437">
        <v>20696</v>
      </c>
      <c r="E8" s="437">
        <v>96159</v>
      </c>
      <c r="F8" s="437">
        <v>51341</v>
      </c>
      <c r="G8" s="437">
        <v>29054</v>
      </c>
      <c r="H8" s="437">
        <v>0</v>
      </c>
      <c r="I8" s="437"/>
      <c r="J8" s="440">
        <v>408732</v>
      </c>
      <c r="K8" s="436"/>
      <c r="L8" s="437">
        <v>0</v>
      </c>
      <c r="M8" s="437">
        <v>0</v>
      </c>
      <c r="N8" s="437">
        <v>0</v>
      </c>
      <c r="O8" s="440">
        <v>0</v>
      </c>
      <c r="P8" s="458">
        <v>0</v>
      </c>
      <c r="Q8" s="437">
        <v>0</v>
      </c>
      <c r="R8" s="437"/>
      <c r="S8" s="455">
        <v>0</v>
      </c>
    </row>
    <row r="9" spans="1:19">
      <c r="A9" s="414"/>
      <c r="B9" s="447" t="s">
        <v>122</v>
      </c>
      <c r="C9" s="436">
        <v>16590</v>
      </c>
      <c r="D9" s="437">
        <v>2690</v>
      </c>
      <c r="E9" s="437">
        <v>28804</v>
      </c>
      <c r="F9" s="437">
        <v>13408</v>
      </c>
      <c r="G9" s="437">
        <v>24217</v>
      </c>
      <c r="H9" s="437">
        <v>0</v>
      </c>
      <c r="I9" s="437">
        <v>0</v>
      </c>
      <c r="J9" s="441">
        <v>85709</v>
      </c>
      <c r="K9" s="436">
        <v>0</v>
      </c>
      <c r="L9" s="437">
        <v>0</v>
      </c>
      <c r="M9" s="437">
        <v>0</v>
      </c>
      <c r="N9" s="437">
        <v>0</v>
      </c>
      <c r="O9" s="436">
        <v>0</v>
      </c>
      <c r="P9" s="458">
        <v>0</v>
      </c>
      <c r="Q9" s="437">
        <v>0</v>
      </c>
      <c r="R9" s="437">
        <v>0</v>
      </c>
      <c r="S9" s="455">
        <v>0</v>
      </c>
    </row>
    <row r="10" spans="1:19">
      <c r="A10" s="414"/>
      <c r="B10" s="447" t="s">
        <v>124</v>
      </c>
      <c r="C10" s="436">
        <v>1465149</v>
      </c>
      <c r="D10" s="437">
        <v>149784</v>
      </c>
      <c r="E10" s="437">
        <v>767299</v>
      </c>
      <c r="F10" s="437">
        <v>407413</v>
      </c>
      <c r="G10" s="437">
        <v>121448</v>
      </c>
      <c r="H10" s="437">
        <v>79691</v>
      </c>
      <c r="I10" s="437"/>
      <c r="J10" s="442">
        <v>2990784</v>
      </c>
      <c r="K10" s="436"/>
      <c r="L10" s="437">
        <v>375311</v>
      </c>
      <c r="M10" s="437">
        <v>1068670</v>
      </c>
      <c r="N10" s="437">
        <v>436016</v>
      </c>
      <c r="O10" s="442">
        <v>1879997</v>
      </c>
      <c r="P10" s="458">
        <v>36758</v>
      </c>
      <c r="Q10" s="437">
        <v>15632</v>
      </c>
      <c r="R10" s="437"/>
      <c r="S10" s="455">
        <v>52390</v>
      </c>
    </row>
    <row r="11" spans="1:19">
      <c r="A11" s="414"/>
      <c r="B11" s="447" t="s">
        <v>125</v>
      </c>
      <c r="C11" s="436">
        <v>48700</v>
      </c>
      <c r="D11" s="437">
        <v>2124</v>
      </c>
      <c r="E11" s="437">
        <v>108767</v>
      </c>
      <c r="F11" s="437">
        <v>22977</v>
      </c>
      <c r="G11" s="437">
        <v>3149</v>
      </c>
      <c r="H11" s="437">
        <v>54671</v>
      </c>
      <c r="I11" s="437">
        <v>0</v>
      </c>
      <c r="J11" s="443">
        <v>240388</v>
      </c>
      <c r="K11" s="436">
        <v>0</v>
      </c>
      <c r="L11" s="437">
        <v>46530</v>
      </c>
      <c r="M11" s="437">
        <v>117765</v>
      </c>
      <c r="N11" s="437">
        <v>75449</v>
      </c>
      <c r="O11" s="443">
        <v>239744</v>
      </c>
      <c r="P11" s="458">
        <v>3120</v>
      </c>
      <c r="Q11" s="437">
        <v>0</v>
      </c>
      <c r="R11" s="437">
        <v>0</v>
      </c>
      <c r="S11" s="455">
        <v>3120</v>
      </c>
    </row>
    <row r="12" spans="1:19">
      <c r="A12" s="414"/>
      <c r="B12" s="447" t="s">
        <v>128</v>
      </c>
      <c r="C12" s="436">
        <v>215682</v>
      </c>
      <c r="D12" s="437">
        <v>21246</v>
      </c>
      <c r="E12" s="437">
        <v>95672</v>
      </c>
      <c r="F12" s="437">
        <v>54027</v>
      </c>
      <c r="G12" s="437">
        <v>41822</v>
      </c>
      <c r="H12" s="437">
        <v>0</v>
      </c>
      <c r="I12" s="437"/>
      <c r="J12" s="444">
        <v>428449</v>
      </c>
      <c r="K12" s="436"/>
      <c r="L12" s="437">
        <v>0</v>
      </c>
      <c r="M12" s="437">
        <v>0</v>
      </c>
      <c r="N12" s="437">
        <v>0</v>
      </c>
      <c r="O12" s="436">
        <v>0</v>
      </c>
      <c r="P12" s="458">
        <v>0</v>
      </c>
      <c r="Q12" s="437">
        <v>0</v>
      </c>
      <c r="R12" s="437"/>
      <c r="S12" s="455">
        <v>0</v>
      </c>
    </row>
    <row r="13" spans="1:19">
      <c r="A13" s="415"/>
      <c r="B13" s="415" t="s">
        <v>126</v>
      </c>
      <c r="C13" s="445">
        <v>20445</v>
      </c>
      <c r="D13" s="446">
        <v>2641</v>
      </c>
      <c r="E13" s="446">
        <v>25822</v>
      </c>
      <c r="F13" s="446">
        <v>9756</v>
      </c>
      <c r="G13" s="446">
        <v>36129</v>
      </c>
      <c r="H13" s="446">
        <v>0</v>
      </c>
      <c r="I13" s="446">
        <v>0</v>
      </c>
      <c r="J13" s="445">
        <v>94793</v>
      </c>
      <c r="K13" s="445">
        <v>0</v>
      </c>
      <c r="L13" s="446">
        <v>0</v>
      </c>
      <c r="M13" s="446">
        <v>0</v>
      </c>
      <c r="N13" s="446">
        <v>0</v>
      </c>
      <c r="O13" s="445">
        <v>0</v>
      </c>
      <c r="P13" s="459">
        <v>0</v>
      </c>
      <c r="Q13" s="446">
        <v>0</v>
      </c>
      <c r="R13" s="446">
        <v>0</v>
      </c>
      <c r="S13" s="456">
        <v>0</v>
      </c>
    </row>
    <row r="14" spans="1:19">
      <c r="A14" s="413" t="s">
        <v>129</v>
      </c>
      <c r="B14" s="110" t="s">
        <v>127</v>
      </c>
      <c r="C14" s="418">
        <v>410119</v>
      </c>
      <c r="D14" s="419"/>
      <c r="E14" s="419">
        <v>760939</v>
      </c>
      <c r="F14" s="419">
        <v>274430</v>
      </c>
      <c r="G14" s="419">
        <v>156473</v>
      </c>
      <c r="H14" s="419">
        <v>240325</v>
      </c>
      <c r="I14" s="419"/>
      <c r="J14" s="118">
        <v>1842286</v>
      </c>
      <c r="K14" s="418"/>
      <c r="L14" s="419">
        <v>183880</v>
      </c>
      <c r="M14" s="419">
        <v>209546</v>
      </c>
      <c r="N14" s="419">
        <v>642041</v>
      </c>
      <c r="O14" s="118">
        <v>1035467</v>
      </c>
      <c r="P14" s="418"/>
      <c r="Q14" s="419"/>
      <c r="R14" s="419"/>
      <c r="S14" s="420"/>
    </row>
    <row r="15" spans="1:19">
      <c r="A15" s="414"/>
      <c r="B15" s="115" t="s">
        <v>121</v>
      </c>
      <c r="C15" s="117">
        <v>6149</v>
      </c>
      <c r="D15" s="422">
        <v>0</v>
      </c>
      <c r="E15" s="422">
        <v>62317</v>
      </c>
      <c r="F15" s="422">
        <v>16659</v>
      </c>
      <c r="G15" s="422">
        <v>12237</v>
      </c>
      <c r="H15" s="422">
        <v>18639</v>
      </c>
      <c r="I15" s="422">
        <v>0</v>
      </c>
      <c r="J15" s="123">
        <v>116001</v>
      </c>
      <c r="K15" s="117">
        <v>0</v>
      </c>
      <c r="L15" s="422">
        <v>44002</v>
      </c>
      <c r="M15" s="422">
        <v>33038</v>
      </c>
      <c r="N15" s="422">
        <v>81804</v>
      </c>
      <c r="O15" s="123">
        <v>158844</v>
      </c>
      <c r="P15" s="117">
        <v>0</v>
      </c>
      <c r="Q15" s="422">
        <v>0</v>
      </c>
      <c r="R15" s="422">
        <v>0</v>
      </c>
      <c r="S15" s="421">
        <v>0</v>
      </c>
    </row>
    <row r="16" spans="1:19">
      <c r="A16" s="414"/>
      <c r="B16" s="115" t="s">
        <v>123</v>
      </c>
      <c r="C16" s="117">
        <v>68212</v>
      </c>
      <c r="D16" s="422"/>
      <c r="E16" s="422">
        <v>107245</v>
      </c>
      <c r="F16" s="422">
        <v>21470</v>
      </c>
      <c r="G16" s="422">
        <v>7995</v>
      </c>
      <c r="H16" s="422">
        <v>1517</v>
      </c>
      <c r="I16" s="422"/>
      <c r="J16" s="121">
        <v>206439</v>
      </c>
      <c r="K16" s="117"/>
      <c r="L16" s="422">
        <v>0</v>
      </c>
      <c r="M16" s="422">
        <v>0</v>
      </c>
      <c r="N16" s="422">
        <v>0</v>
      </c>
      <c r="O16" s="117">
        <v>0</v>
      </c>
      <c r="P16" s="117"/>
      <c r="Q16" s="422"/>
      <c r="R16" s="422"/>
      <c r="S16" s="421"/>
    </row>
    <row r="17" spans="1:19">
      <c r="A17" s="414"/>
      <c r="B17" s="115" t="s">
        <v>122</v>
      </c>
      <c r="C17" s="117">
        <v>9995</v>
      </c>
      <c r="D17" s="422">
        <v>0</v>
      </c>
      <c r="E17" s="422">
        <v>18682</v>
      </c>
      <c r="F17" s="422">
        <v>1812</v>
      </c>
      <c r="G17" s="422">
        <v>2583</v>
      </c>
      <c r="H17" s="422">
        <v>192</v>
      </c>
      <c r="I17" s="422">
        <v>0</v>
      </c>
      <c r="J17" s="125">
        <v>33264</v>
      </c>
      <c r="K17" s="117">
        <v>0</v>
      </c>
      <c r="L17" s="422">
        <v>0</v>
      </c>
      <c r="M17" s="422">
        <v>0</v>
      </c>
      <c r="N17" s="422">
        <v>0</v>
      </c>
      <c r="O17" s="117">
        <v>0</v>
      </c>
      <c r="P17" s="117">
        <v>0</v>
      </c>
      <c r="Q17" s="422">
        <v>0</v>
      </c>
      <c r="R17" s="422">
        <v>0</v>
      </c>
      <c r="S17" s="421">
        <v>0</v>
      </c>
    </row>
    <row r="18" spans="1:19">
      <c r="A18" s="414"/>
      <c r="B18" s="115" t="s">
        <v>124</v>
      </c>
      <c r="C18" s="117">
        <v>428450</v>
      </c>
      <c r="D18" s="422"/>
      <c r="E18" s="422">
        <v>768421</v>
      </c>
      <c r="F18" s="422">
        <v>280066</v>
      </c>
      <c r="G18" s="422">
        <v>154608</v>
      </c>
      <c r="H18" s="422">
        <v>251217</v>
      </c>
      <c r="I18" s="422"/>
      <c r="J18" s="120">
        <v>1882762</v>
      </c>
      <c r="K18" s="117"/>
      <c r="L18" s="422">
        <v>190235</v>
      </c>
      <c r="M18" s="422">
        <v>231545</v>
      </c>
      <c r="N18" s="422">
        <v>680448</v>
      </c>
      <c r="O18" s="120">
        <v>1102228</v>
      </c>
      <c r="P18" s="117"/>
      <c r="Q18" s="422"/>
      <c r="R18" s="422"/>
      <c r="S18" s="421"/>
    </row>
    <row r="19" spans="1:19">
      <c r="A19" s="414"/>
      <c r="B19" s="115" t="s">
        <v>125</v>
      </c>
      <c r="C19" s="117">
        <v>7936</v>
      </c>
      <c r="D19" s="422">
        <v>0</v>
      </c>
      <c r="E19" s="422">
        <v>83012</v>
      </c>
      <c r="F19" s="422">
        <v>26769</v>
      </c>
      <c r="G19" s="422">
        <v>13726</v>
      </c>
      <c r="H19" s="422">
        <v>24465</v>
      </c>
      <c r="I19" s="422">
        <v>0</v>
      </c>
      <c r="J19" s="124">
        <v>155908</v>
      </c>
      <c r="K19" s="117">
        <v>0</v>
      </c>
      <c r="L19" s="422">
        <v>52543</v>
      </c>
      <c r="M19" s="422">
        <v>42886</v>
      </c>
      <c r="N19" s="422">
        <v>99159</v>
      </c>
      <c r="O19" s="124">
        <v>194588</v>
      </c>
      <c r="P19" s="117">
        <v>0</v>
      </c>
      <c r="Q19" s="422">
        <v>0</v>
      </c>
      <c r="R19" s="422">
        <v>0</v>
      </c>
      <c r="S19" s="421">
        <v>0</v>
      </c>
    </row>
    <row r="20" spans="1:19">
      <c r="A20" s="414"/>
      <c r="B20" s="115" t="s">
        <v>128</v>
      </c>
      <c r="C20" s="117">
        <v>69769</v>
      </c>
      <c r="D20" s="422"/>
      <c r="E20" s="422">
        <v>112811</v>
      </c>
      <c r="F20" s="422">
        <v>20987</v>
      </c>
      <c r="G20" s="422">
        <v>9625</v>
      </c>
      <c r="H20" s="422">
        <v>2046</v>
      </c>
      <c r="I20" s="422"/>
      <c r="J20" s="122">
        <v>215238</v>
      </c>
      <c r="K20" s="117"/>
      <c r="L20" s="422">
        <v>0</v>
      </c>
      <c r="M20" s="422">
        <v>0</v>
      </c>
      <c r="N20" s="422">
        <v>0</v>
      </c>
      <c r="O20" s="117">
        <v>0</v>
      </c>
      <c r="P20" s="117"/>
      <c r="Q20" s="422"/>
      <c r="R20" s="422"/>
      <c r="S20" s="421"/>
    </row>
    <row r="21" spans="1:19">
      <c r="A21" s="416"/>
      <c r="B21" s="115" t="s">
        <v>126</v>
      </c>
      <c r="C21" s="117">
        <v>12302</v>
      </c>
      <c r="D21" s="422">
        <v>0</v>
      </c>
      <c r="E21" s="422">
        <v>27842</v>
      </c>
      <c r="F21" s="422">
        <v>2461</v>
      </c>
      <c r="G21" s="422">
        <v>4443</v>
      </c>
      <c r="H21" s="422">
        <v>311</v>
      </c>
      <c r="I21" s="422">
        <v>0</v>
      </c>
      <c r="J21" s="117">
        <v>47359</v>
      </c>
      <c r="K21" s="117">
        <v>0</v>
      </c>
      <c r="L21" s="422">
        <v>0</v>
      </c>
      <c r="M21" s="422">
        <v>0</v>
      </c>
      <c r="N21" s="422">
        <v>0</v>
      </c>
      <c r="O21" s="117">
        <v>0</v>
      </c>
      <c r="P21" s="117">
        <v>0</v>
      </c>
      <c r="Q21" s="422">
        <v>0</v>
      </c>
      <c r="R21" s="422">
        <v>0</v>
      </c>
      <c r="S21" s="421">
        <v>0</v>
      </c>
    </row>
    <row r="22" spans="1:19">
      <c r="A22" s="413" t="s">
        <v>135</v>
      </c>
      <c r="B22" s="110" t="s">
        <v>127</v>
      </c>
      <c r="C22" s="418">
        <v>501916</v>
      </c>
      <c r="D22" s="419"/>
      <c r="E22" s="419"/>
      <c r="F22" s="419">
        <v>0</v>
      </c>
      <c r="G22" s="419"/>
      <c r="H22" s="419"/>
      <c r="I22" s="419"/>
      <c r="J22" s="118">
        <v>501916</v>
      </c>
      <c r="K22" s="418"/>
      <c r="L22" s="419"/>
      <c r="M22" s="419">
        <v>231543</v>
      </c>
      <c r="N22" s="419">
        <v>63108</v>
      </c>
      <c r="O22" s="118">
        <v>294651</v>
      </c>
      <c r="P22" s="418"/>
      <c r="Q22" s="419"/>
      <c r="R22" s="419"/>
      <c r="S22" s="420"/>
    </row>
    <row r="23" spans="1:19">
      <c r="A23" s="414"/>
      <c r="B23" s="115" t="s">
        <v>121</v>
      </c>
      <c r="C23" s="117">
        <v>22482</v>
      </c>
      <c r="D23" s="422">
        <v>0</v>
      </c>
      <c r="E23" s="422">
        <v>0</v>
      </c>
      <c r="F23" s="422">
        <v>0</v>
      </c>
      <c r="G23" s="422">
        <v>0</v>
      </c>
      <c r="H23" s="422">
        <v>0</v>
      </c>
      <c r="I23" s="422">
        <v>0</v>
      </c>
      <c r="J23" s="123">
        <v>22482</v>
      </c>
      <c r="K23" s="117">
        <v>0</v>
      </c>
      <c r="L23" s="422">
        <v>0</v>
      </c>
      <c r="M23" s="422">
        <v>28674</v>
      </c>
      <c r="N23" s="422">
        <v>7874</v>
      </c>
      <c r="O23" s="123">
        <v>36548</v>
      </c>
      <c r="P23" s="117">
        <v>0</v>
      </c>
      <c r="Q23" s="422">
        <v>0</v>
      </c>
      <c r="R23" s="422">
        <v>0</v>
      </c>
      <c r="S23" s="421">
        <v>0</v>
      </c>
    </row>
    <row r="24" spans="1:19">
      <c r="A24" s="414"/>
      <c r="B24" s="115" t="s">
        <v>123</v>
      </c>
      <c r="C24" s="117">
        <v>48994</v>
      </c>
      <c r="D24" s="422"/>
      <c r="E24" s="422"/>
      <c r="F24" s="422">
        <v>0</v>
      </c>
      <c r="G24" s="422"/>
      <c r="H24" s="422"/>
      <c r="I24" s="422"/>
      <c r="J24" s="121">
        <v>48994</v>
      </c>
      <c r="K24" s="117"/>
      <c r="L24" s="422"/>
      <c r="M24" s="422">
        <v>0</v>
      </c>
      <c r="N24" s="422">
        <v>0</v>
      </c>
      <c r="O24" s="117">
        <v>0</v>
      </c>
      <c r="P24" s="117"/>
      <c r="Q24" s="422"/>
      <c r="R24" s="422"/>
      <c r="S24" s="421"/>
    </row>
    <row r="25" spans="1:19">
      <c r="A25" s="414"/>
      <c r="B25" s="115" t="s">
        <v>122</v>
      </c>
      <c r="C25" s="117">
        <v>3293</v>
      </c>
      <c r="D25" s="422">
        <v>0</v>
      </c>
      <c r="E25" s="422">
        <v>0</v>
      </c>
      <c r="F25" s="422">
        <v>0</v>
      </c>
      <c r="G25" s="422">
        <v>0</v>
      </c>
      <c r="H25" s="422">
        <v>0</v>
      </c>
      <c r="I25" s="422">
        <v>0</v>
      </c>
      <c r="J25" s="125">
        <v>3293</v>
      </c>
      <c r="K25" s="117">
        <v>0</v>
      </c>
      <c r="L25" s="422">
        <v>0</v>
      </c>
      <c r="M25" s="422">
        <v>0</v>
      </c>
      <c r="N25" s="422">
        <v>0</v>
      </c>
      <c r="O25" s="117">
        <v>0</v>
      </c>
      <c r="P25" s="117">
        <v>0</v>
      </c>
      <c r="Q25" s="422">
        <v>0</v>
      </c>
      <c r="R25" s="422">
        <v>0</v>
      </c>
      <c r="S25" s="421">
        <v>0</v>
      </c>
    </row>
    <row r="26" spans="1:19">
      <c r="A26" s="414"/>
      <c r="B26" s="115" t="s">
        <v>124</v>
      </c>
      <c r="C26" s="117">
        <v>505108</v>
      </c>
      <c r="D26" s="422"/>
      <c r="E26" s="422"/>
      <c r="F26" s="422">
        <v>96583</v>
      </c>
      <c r="G26" s="422"/>
      <c r="H26" s="422"/>
      <c r="I26" s="422"/>
      <c r="J26" s="120">
        <v>601691</v>
      </c>
      <c r="K26" s="117"/>
      <c r="L26" s="422"/>
      <c r="M26" s="422">
        <v>224367</v>
      </c>
      <c r="N26" s="422">
        <v>64910</v>
      </c>
      <c r="O26" s="120">
        <v>289277</v>
      </c>
      <c r="P26" s="117"/>
      <c r="Q26" s="422"/>
      <c r="R26" s="422"/>
      <c r="S26" s="421"/>
    </row>
    <row r="27" spans="1:19">
      <c r="A27" s="414"/>
      <c r="B27" s="115" t="s">
        <v>125</v>
      </c>
      <c r="C27" s="117">
        <v>24051</v>
      </c>
      <c r="D27" s="422">
        <v>0</v>
      </c>
      <c r="E27" s="422">
        <v>0</v>
      </c>
      <c r="F27" s="422">
        <v>525</v>
      </c>
      <c r="G27" s="422">
        <v>0</v>
      </c>
      <c r="H27" s="422">
        <v>0</v>
      </c>
      <c r="I27" s="422">
        <v>0</v>
      </c>
      <c r="J27" s="430">
        <v>24576</v>
      </c>
      <c r="K27" s="117">
        <v>0</v>
      </c>
      <c r="L27" s="422">
        <v>0</v>
      </c>
      <c r="M27" s="431">
        <v>25619</v>
      </c>
      <c r="N27" s="431">
        <v>10319</v>
      </c>
      <c r="O27" s="430">
        <v>35938</v>
      </c>
      <c r="P27" s="117">
        <v>0</v>
      </c>
      <c r="Q27" s="422">
        <v>0</v>
      </c>
      <c r="R27" s="422">
        <v>0</v>
      </c>
      <c r="S27" s="421">
        <v>0</v>
      </c>
    </row>
    <row r="28" spans="1:19">
      <c r="A28" s="414"/>
      <c r="B28" s="115" t="s">
        <v>128</v>
      </c>
      <c r="C28" s="117">
        <v>49635</v>
      </c>
      <c r="D28" s="422"/>
      <c r="E28" s="422"/>
      <c r="F28" s="422">
        <v>7075</v>
      </c>
      <c r="G28" s="422"/>
      <c r="H28" s="422"/>
      <c r="I28" s="422"/>
      <c r="J28" s="122">
        <v>56710</v>
      </c>
      <c r="K28" s="117"/>
      <c r="L28" s="422"/>
      <c r="M28" s="422">
        <v>0</v>
      </c>
      <c r="N28" s="422">
        <v>0</v>
      </c>
      <c r="O28" s="117">
        <v>0</v>
      </c>
      <c r="P28" s="117"/>
      <c r="Q28" s="422"/>
      <c r="R28" s="422"/>
      <c r="S28" s="421"/>
    </row>
    <row r="29" spans="1:19">
      <c r="A29" s="416"/>
      <c r="B29" s="115" t="s">
        <v>126</v>
      </c>
      <c r="C29" s="117">
        <v>3385</v>
      </c>
      <c r="D29" s="422">
        <v>0</v>
      </c>
      <c r="E29" s="422">
        <v>0</v>
      </c>
      <c r="F29" s="422">
        <v>150</v>
      </c>
      <c r="G29" s="422">
        <v>0</v>
      </c>
      <c r="H29" s="422">
        <v>0</v>
      </c>
      <c r="I29" s="422">
        <v>0</v>
      </c>
      <c r="J29" s="117">
        <v>3535</v>
      </c>
      <c r="K29" s="117">
        <v>0</v>
      </c>
      <c r="L29" s="422">
        <v>0</v>
      </c>
      <c r="M29" s="422">
        <v>0</v>
      </c>
      <c r="N29" s="422">
        <v>0</v>
      </c>
      <c r="O29" s="117">
        <v>0</v>
      </c>
      <c r="P29" s="117">
        <v>0</v>
      </c>
      <c r="Q29" s="422">
        <v>0</v>
      </c>
      <c r="R29" s="422">
        <v>0</v>
      </c>
      <c r="S29" s="421">
        <v>0</v>
      </c>
    </row>
    <row r="30" spans="1:19">
      <c r="A30" s="413" t="s">
        <v>216</v>
      </c>
      <c r="B30" s="110" t="s">
        <v>127</v>
      </c>
      <c r="C30" s="418">
        <v>3951536</v>
      </c>
      <c r="D30" s="419">
        <v>1349107</v>
      </c>
      <c r="E30" s="419">
        <v>866985</v>
      </c>
      <c r="F30" s="419">
        <v>197014</v>
      </c>
      <c r="G30" s="419"/>
      <c r="H30" s="419">
        <v>25748</v>
      </c>
      <c r="I30" s="419"/>
      <c r="J30" s="118">
        <v>6390390</v>
      </c>
      <c r="K30" s="418">
        <v>1959690</v>
      </c>
      <c r="L30" s="419">
        <v>5073799</v>
      </c>
      <c r="M30" s="419">
        <v>647372</v>
      </c>
      <c r="N30" s="419">
        <v>44244</v>
      </c>
      <c r="O30" s="118">
        <v>7725105</v>
      </c>
      <c r="P30" s="418"/>
      <c r="Q30" s="419"/>
      <c r="R30" s="419"/>
      <c r="S30" s="420"/>
    </row>
    <row r="31" spans="1:19">
      <c r="A31" s="414"/>
      <c r="B31" s="115" t="s">
        <v>121</v>
      </c>
      <c r="C31" s="117">
        <v>611269</v>
      </c>
      <c r="D31" s="422">
        <v>255853</v>
      </c>
      <c r="E31" s="422">
        <v>80716</v>
      </c>
      <c r="F31" s="422">
        <v>32376</v>
      </c>
      <c r="G31" s="422">
        <v>0</v>
      </c>
      <c r="H31" s="422">
        <v>0</v>
      </c>
      <c r="I31" s="422">
        <v>0</v>
      </c>
      <c r="J31" s="123">
        <v>980214</v>
      </c>
      <c r="K31" s="117">
        <v>237532</v>
      </c>
      <c r="L31" s="422">
        <v>696228</v>
      </c>
      <c r="M31" s="422">
        <v>100979</v>
      </c>
      <c r="N31" s="422">
        <v>8275</v>
      </c>
      <c r="O31" s="123">
        <v>1043014</v>
      </c>
      <c r="P31" s="117">
        <v>0</v>
      </c>
      <c r="Q31" s="422">
        <v>0</v>
      </c>
      <c r="R31" s="422">
        <v>0</v>
      </c>
      <c r="S31" s="421">
        <v>0</v>
      </c>
    </row>
    <row r="32" spans="1:19">
      <c r="A32" s="414"/>
      <c r="B32" s="115" t="s">
        <v>123</v>
      </c>
      <c r="C32" s="117">
        <v>752808</v>
      </c>
      <c r="D32" s="422">
        <v>197755</v>
      </c>
      <c r="E32" s="422">
        <v>96181.5</v>
      </c>
      <c r="F32" s="422">
        <v>15997</v>
      </c>
      <c r="G32" s="422"/>
      <c r="H32" s="422">
        <v>0</v>
      </c>
      <c r="I32" s="422"/>
      <c r="J32" s="121">
        <v>1062741.5</v>
      </c>
      <c r="K32" s="117">
        <v>0</v>
      </c>
      <c r="L32" s="422">
        <v>0</v>
      </c>
      <c r="M32" s="422">
        <v>0</v>
      </c>
      <c r="N32" s="422">
        <v>0</v>
      </c>
      <c r="O32" s="117">
        <v>0</v>
      </c>
      <c r="P32" s="117"/>
      <c r="Q32" s="422"/>
      <c r="R32" s="422"/>
      <c r="S32" s="421"/>
    </row>
    <row r="33" spans="1:19">
      <c r="A33" s="414"/>
      <c r="B33" s="115" t="s">
        <v>122</v>
      </c>
      <c r="C33" s="117">
        <v>117765</v>
      </c>
      <c r="D33" s="422">
        <v>34776</v>
      </c>
      <c r="E33" s="422">
        <v>13909</v>
      </c>
      <c r="F33" s="422">
        <v>5439</v>
      </c>
      <c r="G33" s="422">
        <v>0</v>
      </c>
      <c r="H33" s="422">
        <v>0</v>
      </c>
      <c r="I33" s="422">
        <v>0</v>
      </c>
      <c r="J33" s="125">
        <v>171889</v>
      </c>
      <c r="K33" s="117">
        <v>0</v>
      </c>
      <c r="L33" s="422">
        <v>0</v>
      </c>
      <c r="M33" s="422">
        <v>0</v>
      </c>
      <c r="N33" s="422">
        <v>0</v>
      </c>
      <c r="O33" s="117">
        <v>0</v>
      </c>
      <c r="P33" s="117">
        <v>0</v>
      </c>
      <c r="Q33" s="422">
        <v>0</v>
      </c>
      <c r="R33" s="422">
        <v>0</v>
      </c>
      <c r="S33" s="421">
        <v>0</v>
      </c>
    </row>
    <row r="34" spans="1:19">
      <c r="A34" s="414"/>
      <c r="B34" s="115" t="s">
        <v>124</v>
      </c>
      <c r="C34" s="117">
        <v>3989578</v>
      </c>
      <c r="D34" s="422">
        <v>1315952</v>
      </c>
      <c r="E34" s="422">
        <v>852822</v>
      </c>
      <c r="F34" s="422">
        <v>221970</v>
      </c>
      <c r="G34" s="422"/>
      <c r="H34" s="422">
        <v>26784</v>
      </c>
      <c r="I34" s="422"/>
      <c r="J34" s="120">
        <v>6407106</v>
      </c>
      <c r="K34" s="117">
        <v>2075005</v>
      </c>
      <c r="L34" s="422">
        <v>5523854</v>
      </c>
      <c r="M34" s="422">
        <v>709117</v>
      </c>
      <c r="N34" s="422">
        <v>46494</v>
      </c>
      <c r="O34" s="120">
        <v>8354470</v>
      </c>
      <c r="P34" s="117"/>
      <c r="Q34" s="422"/>
      <c r="R34" s="422"/>
      <c r="S34" s="421"/>
    </row>
    <row r="35" spans="1:19">
      <c r="A35" s="414"/>
      <c r="B35" s="115" t="s">
        <v>125</v>
      </c>
      <c r="C35" s="117">
        <v>647183</v>
      </c>
      <c r="D35" s="422">
        <v>174966</v>
      </c>
      <c r="E35" s="422">
        <v>86107</v>
      </c>
      <c r="F35" s="422">
        <v>37335</v>
      </c>
      <c r="G35" s="422">
        <v>0</v>
      </c>
      <c r="H35" s="422">
        <v>0</v>
      </c>
      <c r="I35" s="422">
        <v>0</v>
      </c>
      <c r="J35" s="124">
        <v>945591</v>
      </c>
      <c r="K35" s="117">
        <v>285255</v>
      </c>
      <c r="L35" s="422">
        <v>898035</v>
      </c>
      <c r="M35" s="422">
        <v>126266</v>
      </c>
      <c r="N35" s="422">
        <v>11581</v>
      </c>
      <c r="O35" s="124">
        <v>1321137</v>
      </c>
      <c r="P35" s="117">
        <v>0</v>
      </c>
      <c r="Q35" s="422">
        <v>0</v>
      </c>
      <c r="R35" s="422">
        <v>0</v>
      </c>
      <c r="S35" s="421">
        <v>0</v>
      </c>
    </row>
    <row r="36" spans="1:19">
      <c r="A36" s="414"/>
      <c r="B36" s="115" t="s">
        <v>128</v>
      </c>
      <c r="C36" s="117">
        <v>768688</v>
      </c>
      <c r="D36" s="422">
        <v>192532</v>
      </c>
      <c r="E36" s="422">
        <v>101481</v>
      </c>
      <c r="F36" s="422">
        <v>18840</v>
      </c>
      <c r="G36" s="422"/>
      <c r="H36" s="422">
        <v>0</v>
      </c>
      <c r="I36" s="422"/>
      <c r="J36" s="122">
        <v>1081541</v>
      </c>
      <c r="K36" s="117">
        <v>0</v>
      </c>
      <c r="L36" s="422">
        <v>0</v>
      </c>
      <c r="M36" s="422">
        <v>0</v>
      </c>
      <c r="N36" s="422">
        <v>0</v>
      </c>
      <c r="O36" s="117">
        <v>0</v>
      </c>
      <c r="P36" s="117"/>
      <c r="Q36" s="422"/>
      <c r="R36" s="422"/>
      <c r="S36" s="421"/>
    </row>
    <row r="37" spans="1:19">
      <c r="A37" s="416"/>
      <c r="B37" s="115" t="s">
        <v>126</v>
      </c>
      <c r="C37" s="117">
        <v>136327</v>
      </c>
      <c r="D37" s="422">
        <v>21759</v>
      </c>
      <c r="E37" s="422">
        <v>15490.5</v>
      </c>
      <c r="F37" s="422">
        <v>7485</v>
      </c>
      <c r="G37" s="422">
        <v>0</v>
      </c>
      <c r="H37" s="422">
        <v>0</v>
      </c>
      <c r="I37" s="422">
        <v>0</v>
      </c>
      <c r="J37" s="117">
        <v>181061.5</v>
      </c>
      <c r="K37" s="117">
        <v>0</v>
      </c>
      <c r="L37" s="422">
        <v>0</v>
      </c>
      <c r="M37" s="422">
        <v>0</v>
      </c>
      <c r="N37" s="422">
        <v>0</v>
      </c>
      <c r="O37" s="117">
        <v>0</v>
      </c>
      <c r="P37" s="117">
        <v>0</v>
      </c>
      <c r="Q37" s="422">
        <v>0</v>
      </c>
      <c r="R37" s="422">
        <v>0</v>
      </c>
      <c r="S37" s="421">
        <v>0</v>
      </c>
    </row>
    <row r="38" spans="1:19">
      <c r="A38" s="413" t="s">
        <v>217</v>
      </c>
      <c r="B38" s="110" t="s">
        <v>127</v>
      </c>
      <c r="C38" s="118">
        <v>1273506.7</v>
      </c>
      <c r="D38" s="119">
        <v>377828.5</v>
      </c>
      <c r="E38" s="119">
        <v>941543</v>
      </c>
      <c r="F38" s="119">
        <v>1060368.96</v>
      </c>
      <c r="G38" s="119">
        <v>488223</v>
      </c>
      <c r="H38" s="119">
        <v>294287</v>
      </c>
      <c r="I38" s="119">
        <v>10692</v>
      </c>
      <c r="J38" s="118">
        <v>4446449.16</v>
      </c>
      <c r="K38" s="118">
        <v>95345</v>
      </c>
      <c r="L38" s="119">
        <v>484348</v>
      </c>
      <c r="M38" s="119">
        <v>754095.5</v>
      </c>
      <c r="N38" s="119">
        <v>152935</v>
      </c>
      <c r="O38" s="118">
        <v>1486723.5</v>
      </c>
      <c r="P38" s="118">
        <v>2914530.8</v>
      </c>
      <c r="Q38" s="119">
        <v>192925.9</v>
      </c>
      <c r="R38" s="119"/>
      <c r="S38" s="423">
        <v>3107456.6999999997</v>
      </c>
    </row>
    <row r="39" spans="1:19">
      <c r="A39" s="414"/>
      <c r="B39" s="115" t="s">
        <v>121</v>
      </c>
      <c r="C39" s="123">
        <v>9738</v>
      </c>
      <c r="D39" s="426">
        <v>6433</v>
      </c>
      <c r="E39" s="426">
        <v>31973</v>
      </c>
      <c r="F39" s="426">
        <v>29531</v>
      </c>
      <c r="G39" s="426">
        <v>24109</v>
      </c>
      <c r="H39" s="426">
        <v>34700</v>
      </c>
      <c r="I39" s="426">
        <v>0</v>
      </c>
      <c r="J39" s="123">
        <v>136484</v>
      </c>
      <c r="K39" s="123">
        <v>527</v>
      </c>
      <c r="L39" s="426">
        <v>59172</v>
      </c>
      <c r="M39" s="426">
        <v>59781</v>
      </c>
      <c r="N39" s="426">
        <v>6302</v>
      </c>
      <c r="O39" s="123">
        <v>125782</v>
      </c>
      <c r="P39" s="123">
        <v>647973</v>
      </c>
      <c r="Q39" s="426">
        <v>26401</v>
      </c>
      <c r="R39" s="426">
        <v>0</v>
      </c>
      <c r="S39" s="427">
        <v>674374</v>
      </c>
    </row>
    <row r="40" spans="1:19">
      <c r="A40" s="414"/>
      <c r="B40" s="115" t="s">
        <v>123</v>
      </c>
      <c r="C40" s="117">
        <v>417083.1</v>
      </c>
      <c r="D40" s="422">
        <v>209401</v>
      </c>
      <c r="E40" s="422">
        <v>84223</v>
      </c>
      <c r="F40" s="422">
        <v>93512</v>
      </c>
      <c r="G40" s="422">
        <v>34130</v>
      </c>
      <c r="H40" s="422">
        <v>630</v>
      </c>
      <c r="I40" s="422">
        <v>0</v>
      </c>
      <c r="J40" s="121">
        <v>838979.1</v>
      </c>
      <c r="K40" s="117">
        <v>0</v>
      </c>
      <c r="L40" s="422">
        <v>0</v>
      </c>
      <c r="M40" s="422">
        <v>0</v>
      </c>
      <c r="N40" s="422">
        <v>0</v>
      </c>
      <c r="O40" s="117">
        <v>0</v>
      </c>
      <c r="P40" s="117">
        <v>0</v>
      </c>
      <c r="Q40" s="422">
        <v>0</v>
      </c>
      <c r="R40" s="422"/>
      <c r="S40" s="421">
        <v>0</v>
      </c>
    </row>
    <row r="41" spans="1:19">
      <c r="A41" s="414"/>
      <c r="B41" s="115" t="s">
        <v>122</v>
      </c>
      <c r="C41" s="117">
        <v>12118</v>
      </c>
      <c r="D41" s="422">
        <v>4753.5</v>
      </c>
      <c r="E41" s="422">
        <v>28252</v>
      </c>
      <c r="F41" s="422">
        <v>7323</v>
      </c>
      <c r="G41" s="422">
        <v>2316</v>
      </c>
      <c r="H41" s="422">
        <v>183</v>
      </c>
      <c r="I41" s="422">
        <v>0</v>
      </c>
      <c r="J41" s="125">
        <v>54945.5</v>
      </c>
      <c r="K41" s="117">
        <v>0</v>
      </c>
      <c r="L41" s="422">
        <v>0</v>
      </c>
      <c r="M41" s="422">
        <v>0</v>
      </c>
      <c r="N41" s="422">
        <v>0</v>
      </c>
      <c r="O41" s="117">
        <v>0</v>
      </c>
      <c r="P41" s="117">
        <v>0</v>
      </c>
      <c r="Q41" s="422">
        <v>0</v>
      </c>
      <c r="R41" s="422">
        <v>0</v>
      </c>
      <c r="S41" s="421">
        <v>0</v>
      </c>
    </row>
    <row r="42" spans="1:19">
      <c r="A42" s="414"/>
      <c r="B42" s="115" t="s">
        <v>124</v>
      </c>
      <c r="C42" s="120">
        <v>1304700.8</v>
      </c>
      <c r="D42" s="424">
        <v>384214</v>
      </c>
      <c r="E42" s="424">
        <v>974121</v>
      </c>
      <c r="F42" s="424">
        <v>1077874.8799999999</v>
      </c>
      <c r="G42" s="424">
        <v>504760</v>
      </c>
      <c r="H42" s="424">
        <v>284153</v>
      </c>
      <c r="I42" s="424">
        <v>30979</v>
      </c>
      <c r="J42" s="120">
        <v>4560802.68</v>
      </c>
      <c r="K42" s="120">
        <v>104245</v>
      </c>
      <c r="L42" s="424">
        <v>497463</v>
      </c>
      <c r="M42" s="424">
        <v>792724.5</v>
      </c>
      <c r="N42" s="424">
        <v>175002</v>
      </c>
      <c r="O42" s="120">
        <v>1569434.5</v>
      </c>
      <c r="P42" s="120">
        <v>3064488.3</v>
      </c>
      <c r="Q42" s="424">
        <v>194497.9</v>
      </c>
      <c r="R42" s="424"/>
      <c r="S42" s="425">
        <v>3258986.1999999997</v>
      </c>
    </row>
    <row r="43" spans="1:19">
      <c r="A43" s="414"/>
      <c r="B43" s="115" t="s">
        <v>125</v>
      </c>
      <c r="C43" s="124">
        <v>6576</v>
      </c>
      <c r="D43" s="428">
        <v>5175</v>
      </c>
      <c r="E43" s="428">
        <v>48106</v>
      </c>
      <c r="F43" s="428">
        <v>20444</v>
      </c>
      <c r="G43" s="428">
        <v>28913</v>
      </c>
      <c r="H43" s="428">
        <v>22510</v>
      </c>
      <c r="I43" s="428">
        <v>0</v>
      </c>
      <c r="J43" s="124">
        <v>131724</v>
      </c>
      <c r="K43" s="124">
        <v>480</v>
      </c>
      <c r="L43" s="428">
        <v>87231</v>
      </c>
      <c r="M43" s="428">
        <v>66452</v>
      </c>
      <c r="N43" s="428">
        <v>10759</v>
      </c>
      <c r="O43" s="124">
        <v>164922</v>
      </c>
      <c r="P43" s="124">
        <v>809438</v>
      </c>
      <c r="Q43" s="428">
        <v>37994</v>
      </c>
      <c r="R43" s="428">
        <v>0</v>
      </c>
      <c r="S43" s="429">
        <v>847432</v>
      </c>
    </row>
    <row r="44" spans="1:19">
      <c r="A44" s="414"/>
      <c r="B44" s="115" t="s">
        <v>128</v>
      </c>
      <c r="C44" s="117">
        <v>433200.4</v>
      </c>
      <c r="D44" s="422">
        <v>217693</v>
      </c>
      <c r="E44" s="422">
        <v>97632</v>
      </c>
      <c r="F44" s="422">
        <v>98234</v>
      </c>
      <c r="G44" s="422">
        <v>38977</v>
      </c>
      <c r="H44" s="422">
        <v>2170</v>
      </c>
      <c r="I44" s="422">
        <v>0</v>
      </c>
      <c r="J44" s="122">
        <v>887906.4</v>
      </c>
      <c r="K44" s="117">
        <v>0</v>
      </c>
      <c r="L44" s="422">
        <v>0</v>
      </c>
      <c r="M44" s="422">
        <v>0</v>
      </c>
      <c r="N44" s="422">
        <v>0</v>
      </c>
      <c r="O44" s="117">
        <v>0</v>
      </c>
      <c r="P44" s="117">
        <v>0</v>
      </c>
      <c r="Q44" s="422">
        <v>0</v>
      </c>
      <c r="R44" s="422"/>
      <c r="S44" s="421">
        <v>0</v>
      </c>
    </row>
    <row r="45" spans="1:19">
      <c r="A45" s="416"/>
      <c r="B45" s="115" t="s">
        <v>126</v>
      </c>
      <c r="C45" s="117">
        <v>6763</v>
      </c>
      <c r="D45" s="422">
        <v>3606</v>
      </c>
      <c r="E45" s="422">
        <v>42400</v>
      </c>
      <c r="F45" s="422">
        <v>6844</v>
      </c>
      <c r="G45" s="422">
        <v>2136</v>
      </c>
      <c r="H45" s="422">
        <v>46</v>
      </c>
      <c r="I45" s="422">
        <v>0</v>
      </c>
      <c r="J45" s="117">
        <v>61795</v>
      </c>
      <c r="K45" s="117">
        <v>0</v>
      </c>
      <c r="L45" s="422">
        <v>0</v>
      </c>
      <c r="M45" s="422">
        <v>0</v>
      </c>
      <c r="N45" s="422">
        <v>0</v>
      </c>
      <c r="O45" s="117">
        <v>0</v>
      </c>
      <c r="P45" s="117">
        <v>0</v>
      </c>
      <c r="Q45" s="422">
        <v>0</v>
      </c>
      <c r="R45" s="422">
        <v>0</v>
      </c>
      <c r="S45" s="421">
        <v>0</v>
      </c>
    </row>
    <row r="46" spans="1:19">
      <c r="A46" s="413" t="s">
        <v>131</v>
      </c>
      <c r="B46" s="110" t="s">
        <v>127</v>
      </c>
      <c r="C46" s="118">
        <v>870934</v>
      </c>
      <c r="D46" s="119"/>
      <c r="E46" s="119">
        <v>1022789</v>
      </c>
      <c r="F46" s="119">
        <v>505459</v>
      </c>
      <c r="G46" s="119">
        <v>61135</v>
      </c>
      <c r="H46" s="119"/>
      <c r="I46" s="119"/>
      <c r="J46" s="118">
        <v>2460317</v>
      </c>
      <c r="K46" s="118"/>
      <c r="L46" s="119">
        <v>456459</v>
      </c>
      <c r="M46" s="119">
        <v>703316</v>
      </c>
      <c r="N46" s="119">
        <v>144905</v>
      </c>
      <c r="O46" s="118">
        <v>1304680</v>
      </c>
      <c r="P46" s="118">
        <v>84011</v>
      </c>
      <c r="Q46" s="119"/>
      <c r="R46" s="119"/>
      <c r="S46" s="423">
        <v>84011</v>
      </c>
    </row>
    <row r="47" spans="1:19">
      <c r="A47" s="414"/>
      <c r="B47" s="115" t="s">
        <v>121</v>
      </c>
      <c r="C47" s="123">
        <v>23839</v>
      </c>
      <c r="D47" s="426">
        <v>0</v>
      </c>
      <c r="E47" s="426">
        <v>79717</v>
      </c>
      <c r="F47" s="426">
        <v>32462</v>
      </c>
      <c r="G47" s="426">
        <v>7382</v>
      </c>
      <c r="H47" s="426">
        <v>0</v>
      </c>
      <c r="I47" s="426">
        <v>0</v>
      </c>
      <c r="J47" s="123">
        <v>143400</v>
      </c>
      <c r="K47" s="123">
        <v>0</v>
      </c>
      <c r="L47" s="426">
        <v>62862</v>
      </c>
      <c r="M47" s="426">
        <v>120961</v>
      </c>
      <c r="N47" s="426">
        <v>27852</v>
      </c>
      <c r="O47" s="123">
        <v>211675</v>
      </c>
      <c r="P47" s="123">
        <v>2507</v>
      </c>
      <c r="Q47" s="426">
        <v>0</v>
      </c>
      <c r="R47" s="426">
        <v>0</v>
      </c>
      <c r="S47" s="427">
        <v>2507</v>
      </c>
    </row>
    <row r="48" spans="1:19">
      <c r="A48" s="414"/>
      <c r="B48" s="115" t="s">
        <v>123</v>
      </c>
      <c r="C48" s="117">
        <v>156500</v>
      </c>
      <c r="D48" s="422"/>
      <c r="E48" s="422">
        <v>109285</v>
      </c>
      <c r="F48" s="422">
        <v>59755</v>
      </c>
      <c r="G48" s="422">
        <v>3206</v>
      </c>
      <c r="H48" s="422"/>
      <c r="I48" s="422"/>
      <c r="J48" s="121">
        <v>328746</v>
      </c>
      <c r="K48" s="117"/>
      <c r="L48" s="422">
        <v>0</v>
      </c>
      <c r="M48" s="422">
        <v>0</v>
      </c>
      <c r="N48" s="422">
        <v>0</v>
      </c>
      <c r="O48" s="117">
        <v>0</v>
      </c>
      <c r="P48" s="117">
        <v>0</v>
      </c>
      <c r="Q48" s="422"/>
      <c r="R48" s="422"/>
      <c r="S48" s="421">
        <v>0</v>
      </c>
    </row>
    <row r="49" spans="1:19">
      <c r="A49" s="414"/>
      <c r="B49" s="115" t="s">
        <v>122</v>
      </c>
      <c r="C49" s="117">
        <v>9415</v>
      </c>
      <c r="D49" s="422">
        <v>0</v>
      </c>
      <c r="E49" s="422">
        <v>33108</v>
      </c>
      <c r="F49" s="422">
        <v>17721</v>
      </c>
      <c r="G49" s="422">
        <v>1457</v>
      </c>
      <c r="H49" s="422">
        <v>0</v>
      </c>
      <c r="I49" s="422">
        <v>0</v>
      </c>
      <c r="J49" s="125">
        <v>61701</v>
      </c>
      <c r="K49" s="117">
        <v>0</v>
      </c>
      <c r="L49" s="422">
        <v>0</v>
      </c>
      <c r="M49" s="422">
        <v>0</v>
      </c>
      <c r="N49" s="422">
        <v>0</v>
      </c>
      <c r="O49" s="117">
        <v>0</v>
      </c>
      <c r="P49" s="117">
        <v>0</v>
      </c>
      <c r="Q49" s="422">
        <v>0</v>
      </c>
      <c r="R49" s="422">
        <v>0</v>
      </c>
      <c r="S49" s="421">
        <v>0</v>
      </c>
    </row>
    <row r="50" spans="1:19">
      <c r="A50" s="414"/>
      <c r="B50" s="115" t="s">
        <v>124</v>
      </c>
      <c r="C50" s="120">
        <v>902564</v>
      </c>
      <c r="D50" s="424"/>
      <c r="E50" s="424">
        <v>1030576</v>
      </c>
      <c r="F50" s="424">
        <v>511452</v>
      </c>
      <c r="G50" s="424">
        <v>62327</v>
      </c>
      <c r="H50" s="424"/>
      <c r="I50" s="424"/>
      <c r="J50" s="120">
        <v>2506919</v>
      </c>
      <c r="K50" s="120"/>
      <c r="L50" s="424">
        <v>474840</v>
      </c>
      <c r="M50" s="424">
        <v>721617</v>
      </c>
      <c r="N50" s="424">
        <v>148500</v>
      </c>
      <c r="O50" s="120">
        <v>1344957</v>
      </c>
      <c r="P50" s="120">
        <v>87861</v>
      </c>
      <c r="Q50" s="424"/>
      <c r="R50" s="424"/>
      <c r="S50" s="425">
        <v>87861</v>
      </c>
    </row>
    <row r="51" spans="1:19">
      <c r="A51" s="414"/>
      <c r="B51" s="115" t="s">
        <v>125</v>
      </c>
      <c r="C51" s="124">
        <v>31252</v>
      </c>
      <c r="D51" s="428">
        <v>0</v>
      </c>
      <c r="E51" s="428">
        <v>98197</v>
      </c>
      <c r="F51" s="428">
        <v>47526</v>
      </c>
      <c r="G51" s="428">
        <v>6691</v>
      </c>
      <c r="H51" s="428">
        <v>0</v>
      </c>
      <c r="I51" s="428">
        <v>0</v>
      </c>
      <c r="J51" s="124">
        <v>183666</v>
      </c>
      <c r="K51" s="124">
        <v>0</v>
      </c>
      <c r="L51" s="428">
        <v>85211</v>
      </c>
      <c r="M51" s="428">
        <v>153502</v>
      </c>
      <c r="N51" s="428">
        <v>35443</v>
      </c>
      <c r="O51" s="124">
        <v>274156</v>
      </c>
      <c r="P51" s="124">
        <v>2934</v>
      </c>
      <c r="Q51" s="428">
        <v>0</v>
      </c>
      <c r="R51" s="428">
        <v>0</v>
      </c>
      <c r="S51" s="429">
        <v>2934</v>
      </c>
    </row>
    <row r="52" spans="1:19">
      <c r="A52" s="414"/>
      <c r="B52" s="115" t="s">
        <v>128</v>
      </c>
      <c r="C52" s="117">
        <v>160745</v>
      </c>
      <c r="D52" s="422"/>
      <c r="E52" s="422">
        <v>110572</v>
      </c>
      <c r="F52" s="422">
        <v>60162</v>
      </c>
      <c r="G52" s="422">
        <v>2666</v>
      </c>
      <c r="H52" s="422"/>
      <c r="I52" s="422"/>
      <c r="J52" s="122">
        <v>334145</v>
      </c>
      <c r="K52" s="117"/>
      <c r="L52" s="422">
        <v>0</v>
      </c>
      <c r="M52" s="422">
        <v>0</v>
      </c>
      <c r="N52" s="422">
        <v>0</v>
      </c>
      <c r="O52" s="117">
        <v>0</v>
      </c>
      <c r="P52" s="117">
        <v>0</v>
      </c>
      <c r="Q52" s="422"/>
      <c r="R52" s="422"/>
      <c r="S52" s="421">
        <v>0</v>
      </c>
    </row>
    <row r="53" spans="1:19">
      <c r="A53" s="416"/>
      <c r="B53" s="115" t="s">
        <v>126</v>
      </c>
      <c r="C53" s="117">
        <v>12238</v>
      </c>
      <c r="D53" s="422">
        <v>0</v>
      </c>
      <c r="E53" s="422">
        <v>38666</v>
      </c>
      <c r="F53" s="422">
        <v>20720</v>
      </c>
      <c r="G53" s="422">
        <v>1398</v>
      </c>
      <c r="H53" s="422">
        <v>0</v>
      </c>
      <c r="I53" s="422">
        <v>0</v>
      </c>
      <c r="J53" s="117">
        <v>73022</v>
      </c>
      <c r="K53" s="117">
        <v>0</v>
      </c>
      <c r="L53" s="422">
        <v>0</v>
      </c>
      <c r="M53" s="422">
        <v>0</v>
      </c>
      <c r="N53" s="422">
        <v>0</v>
      </c>
      <c r="O53" s="117">
        <v>0</v>
      </c>
      <c r="P53" s="117">
        <v>0</v>
      </c>
      <c r="Q53" s="422">
        <v>0</v>
      </c>
      <c r="R53" s="422">
        <v>0</v>
      </c>
      <c r="S53" s="421">
        <v>0</v>
      </c>
    </row>
    <row r="54" spans="1:19">
      <c r="A54" s="413" t="s">
        <v>130</v>
      </c>
      <c r="B54" s="110" t="s">
        <v>127</v>
      </c>
      <c r="C54" s="118">
        <v>734051</v>
      </c>
      <c r="D54" s="119">
        <v>877540</v>
      </c>
      <c r="E54" s="119">
        <v>800806</v>
      </c>
      <c r="F54" s="119">
        <v>820354</v>
      </c>
      <c r="G54" s="119">
        <v>51998</v>
      </c>
      <c r="H54" s="119"/>
      <c r="I54" s="119"/>
      <c r="J54" s="118">
        <v>3284749</v>
      </c>
      <c r="K54" s="118">
        <v>57778</v>
      </c>
      <c r="L54" s="119">
        <v>267144</v>
      </c>
      <c r="M54" s="119">
        <v>306799</v>
      </c>
      <c r="N54" s="119">
        <v>176728</v>
      </c>
      <c r="O54" s="118">
        <v>808449</v>
      </c>
      <c r="P54" s="118">
        <v>42229</v>
      </c>
      <c r="Q54" s="119">
        <v>23674.5</v>
      </c>
      <c r="R54" s="119">
        <v>389826</v>
      </c>
      <c r="S54" s="423">
        <v>455729.5</v>
      </c>
    </row>
    <row r="55" spans="1:19">
      <c r="A55" s="414"/>
      <c r="B55" s="115" t="s">
        <v>121</v>
      </c>
      <c r="C55" s="123">
        <v>420</v>
      </c>
      <c r="D55" s="426">
        <v>3334</v>
      </c>
      <c r="E55" s="426">
        <v>29230</v>
      </c>
      <c r="F55" s="426">
        <v>60797</v>
      </c>
      <c r="G55" s="426">
        <v>0</v>
      </c>
      <c r="H55" s="426">
        <v>0</v>
      </c>
      <c r="I55" s="426">
        <v>0</v>
      </c>
      <c r="J55" s="123">
        <v>93781</v>
      </c>
      <c r="K55" s="123">
        <v>2481</v>
      </c>
      <c r="L55" s="426">
        <v>29849</v>
      </c>
      <c r="M55" s="426">
        <v>24521</v>
      </c>
      <c r="N55" s="426">
        <v>2262</v>
      </c>
      <c r="O55" s="123">
        <v>59113</v>
      </c>
      <c r="P55" s="123">
        <v>0</v>
      </c>
      <c r="Q55" s="426">
        <v>0</v>
      </c>
      <c r="R55" s="426">
        <v>0</v>
      </c>
      <c r="S55" s="427">
        <v>0</v>
      </c>
    </row>
    <row r="56" spans="1:19">
      <c r="A56" s="414"/>
      <c r="B56" s="115" t="s">
        <v>123</v>
      </c>
      <c r="C56" s="117">
        <v>104927.5</v>
      </c>
      <c r="D56" s="422">
        <v>98353</v>
      </c>
      <c r="E56" s="422">
        <v>65079</v>
      </c>
      <c r="F56" s="422">
        <v>59350</v>
      </c>
      <c r="G56" s="422">
        <v>7962</v>
      </c>
      <c r="H56" s="422"/>
      <c r="I56" s="422"/>
      <c r="J56" s="121">
        <v>335671.5</v>
      </c>
      <c r="K56" s="117">
        <v>0</v>
      </c>
      <c r="L56" s="422">
        <v>0</v>
      </c>
      <c r="M56" s="422">
        <v>0</v>
      </c>
      <c r="N56" s="422">
        <v>0</v>
      </c>
      <c r="O56" s="117">
        <v>0</v>
      </c>
      <c r="P56" s="117">
        <v>0</v>
      </c>
      <c r="Q56" s="422">
        <v>0</v>
      </c>
      <c r="R56" s="422">
        <v>0</v>
      </c>
      <c r="S56" s="421">
        <v>0</v>
      </c>
    </row>
    <row r="57" spans="1:19">
      <c r="A57" s="414"/>
      <c r="B57" s="115" t="s">
        <v>122</v>
      </c>
      <c r="C57" s="117">
        <v>2004</v>
      </c>
      <c r="D57" s="422">
        <v>4437</v>
      </c>
      <c r="E57" s="422">
        <v>4478</v>
      </c>
      <c r="F57" s="422">
        <v>12008</v>
      </c>
      <c r="G57" s="422">
        <v>0</v>
      </c>
      <c r="H57" s="422">
        <v>0</v>
      </c>
      <c r="I57" s="422">
        <v>0</v>
      </c>
      <c r="J57" s="125">
        <v>22927</v>
      </c>
      <c r="K57" s="117">
        <v>0</v>
      </c>
      <c r="L57" s="422">
        <v>0</v>
      </c>
      <c r="M57" s="422">
        <v>0</v>
      </c>
      <c r="N57" s="422">
        <v>0</v>
      </c>
      <c r="O57" s="117">
        <v>0</v>
      </c>
      <c r="P57" s="117">
        <v>0</v>
      </c>
      <c r="Q57" s="422">
        <v>0</v>
      </c>
      <c r="R57" s="422">
        <v>0</v>
      </c>
      <c r="S57" s="421">
        <v>0</v>
      </c>
    </row>
    <row r="58" spans="1:19">
      <c r="A58" s="414"/>
      <c r="B58" s="115" t="s">
        <v>124</v>
      </c>
      <c r="C58" s="120">
        <v>755896</v>
      </c>
      <c r="D58" s="424">
        <v>870714</v>
      </c>
      <c r="E58" s="424">
        <v>807414</v>
      </c>
      <c r="F58" s="424">
        <v>905728</v>
      </c>
      <c r="G58" s="424">
        <v>60291</v>
      </c>
      <c r="H58" s="424"/>
      <c r="I58" s="424"/>
      <c r="J58" s="120">
        <v>3400043</v>
      </c>
      <c r="K58" s="120">
        <v>59004</v>
      </c>
      <c r="L58" s="424">
        <v>308612</v>
      </c>
      <c r="M58" s="424">
        <v>344402</v>
      </c>
      <c r="N58" s="424">
        <v>204018</v>
      </c>
      <c r="O58" s="120">
        <v>916036</v>
      </c>
      <c r="P58" s="120">
        <v>43753</v>
      </c>
      <c r="Q58" s="424">
        <v>27636.5</v>
      </c>
      <c r="R58" s="424">
        <v>422560.5</v>
      </c>
      <c r="S58" s="425">
        <v>493950</v>
      </c>
    </row>
    <row r="59" spans="1:19">
      <c r="A59" s="414"/>
      <c r="B59" s="115" t="s">
        <v>125</v>
      </c>
      <c r="C59" s="117">
        <v>0</v>
      </c>
      <c r="D59" s="422">
        <v>12713</v>
      </c>
      <c r="E59" s="422">
        <v>34381</v>
      </c>
      <c r="F59" s="422">
        <v>79293</v>
      </c>
      <c r="G59" s="422">
        <v>0</v>
      </c>
      <c r="H59" s="422">
        <v>0</v>
      </c>
      <c r="I59" s="422">
        <v>0</v>
      </c>
      <c r="J59" s="124">
        <v>126387</v>
      </c>
      <c r="K59" s="117">
        <v>878</v>
      </c>
      <c r="L59" s="422">
        <v>17868</v>
      </c>
      <c r="M59" s="422">
        <v>26012</v>
      </c>
      <c r="N59" s="422">
        <v>3606</v>
      </c>
      <c r="O59" s="124">
        <v>48364</v>
      </c>
      <c r="P59" s="124">
        <v>0</v>
      </c>
      <c r="Q59" s="422">
        <v>0</v>
      </c>
      <c r="R59" s="422">
        <v>0</v>
      </c>
      <c r="S59" s="421">
        <v>0</v>
      </c>
    </row>
    <row r="60" spans="1:19">
      <c r="A60" s="414"/>
      <c r="B60" s="115" t="s">
        <v>128</v>
      </c>
      <c r="C60" s="117">
        <v>106587.5</v>
      </c>
      <c r="D60" s="422">
        <v>102273</v>
      </c>
      <c r="E60" s="422">
        <v>74856</v>
      </c>
      <c r="F60" s="422">
        <v>72780</v>
      </c>
      <c r="G60" s="422">
        <v>9599</v>
      </c>
      <c r="H60" s="422"/>
      <c r="I60" s="422"/>
      <c r="J60" s="122">
        <v>366095.5</v>
      </c>
      <c r="K60" s="117">
        <v>0</v>
      </c>
      <c r="L60" s="422">
        <v>0</v>
      </c>
      <c r="M60" s="422">
        <v>0</v>
      </c>
      <c r="N60" s="422">
        <v>0</v>
      </c>
      <c r="O60" s="117">
        <v>0</v>
      </c>
      <c r="P60" s="117">
        <v>0</v>
      </c>
      <c r="Q60" s="422">
        <v>0</v>
      </c>
      <c r="R60" s="422">
        <v>0</v>
      </c>
      <c r="S60" s="421">
        <v>0</v>
      </c>
    </row>
    <row r="61" spans="1:19">
      <c r="A61" s="414"/>
      <c r="B61" s="115" t="s">
        <v>126</v>
      </c>
      <c r="C61" s="117">
        <v>0</v>
      </c>
      <c r="D61" s="422">
        <v>1351</v>
      </c>
      <c r="E61" s="422">
        <v>5149</v>
      </c>
      <c r="F61" s="422">
        <v>16840</v>
      </c>
      <c r="G61" s="422">
        <v>0</v>
      </c>
      <c r="H61" s="422">
        <v>0</v>
      </c>
      <c r="I61" s="422">
        <v>0</v>
      </c>
      <c r="J61" s="117">
        <v>23340</v>
      </c>
      <c r="K61" s="117">
        <v>0</v>
      </c>
      <c r="L61" s="422">
        <v>0</v>
      </c>
      <c r="M61" s="422">
        <v>0</v>
      </c>
      <c r="N61" s="422">
        <v>0</v>
      </c>
      <c r="O61" s="117">
        <v>0</v>
      </c>
      <c r="P61" s="117">
        <v>0</v>
      </c>
      <c r="Q61" s="422">
        <v>0</v>
      </c>
      <c r="R61" s="422">
        <v>0</v>
      </c>
      <c r="S61" s="421">
        <v>0</v>
      </c>
    </row>
    <row r="62" spans="1:19">
      <c r="A62" s="413" t="s">
        <v>218</v>
      </c>
      <c r="B62" s="110" t="s">
        <v>127</v>
      </c>
      <c r="C62" s="118">
        <v>772784</v>
      </c>
      <c r="D62" s="119">
        <v>256485</v>
      </c>
      <c r="E62" s="119">
        <v>604533</v>
      </c>
      <c r="F62" s="119">
        <v>671630</v>
      </c>
      <c r="G62" s="119"/>
      <c r="H62" s="119">
        <v>60301</v>
      </c>
      <c r="I62" s="119">
        <v>361100</v>
      </c>
      <c r="J62" s="118">
        <v>2726833</v>
      </c>
      <c r="K62" s="118"/>
      <c r="L62" s="119">
        <v>1296314</v>
      </c>
      <c r="M62" s="119">
        <v>760999</v>
      </c>
      <c r="N62" s="119">
        <v>269287.5</v>
      </c>
      <c r="O62" s="118">
        <v>2326600.5</v>
      </c>
      <c r="P62" s="118"/>
      <c r="Q62" s="119"/>
      <c r="R62" s="119"/>
      <c r="S62" s="423"/>
    </row>
    <row r="63" spans="1:19">
      <c r="A63" s="414"/>
      <c r="B63" s="115" t="s">
        <v>121</v>
      </c>
      <c r="C63" s="123">
        <v>3436</v>
      </c>
      <c r="D63" s="426">
        <v>756</v>
      </c>
      <c r="E63" s="426">
        <v>11508</v>
      </c>
      <c r="F63" s="426">
        <v>35180</v>
      </c>
      <c r="G63" s="426">
        <v>0</v>
      </c>
      <c r="H63" s="426">
        <v>0</v>
      </c>
      <c r="I63" s="426">
        <v>293209</v>
      </c>
      <c r="J63" s="123">
        <v>344089</v>
      </c>
      <c r="K63" s="123">
        <v>0</v>
      </c>
      <c r="L63" s="426">
        <v>123425</v>
      </c>
      <c r="M63" s="426">
        <v>89472</v>
      </c>
      <c r="N63" s="426">
        <v>27131</v>
      </c>
      <c r="O63" s="123">
        <v>240028</v>
      </c>
      <c r="P63" s="123">
        <v>0</v>
      </c>
      <c r="Q63" s="426">
        <v>0</v>
      </c>
      <c r="R63" s="426">
        <v>0</v>
      </c>
      <c r="S63" s="427">
        <v>0</v>
      </c>
    </row>
    <row r="64" spans="1:19">
      <c r="A64" s="414"/>
      <c r="B64" s="115" t="s">
        <v>123</v>
      </c>
      <c r="C64" s="117">
        <v>149363</v>
      </c>
      <c r="D64" s="422">
        <v>23578</v>
      </c>
      <c r="E64" s="422">
        <v>65158</v>
      </c>
      <c r="F64" s="422">
        <v>107008</v>
      </c>
      <c r="G64" s="422"/>
      <c r="H64" s="422">
        <v>624</v>
      </c>
      <c r="I64" s="422">
        <v>121682</v>
      </c>
      <c r="J64" s="121">
        <v>467413</v>
      </c>
      <c r="K64" s="117"/>
      <c r="L64" s="422">
        <v>0</v>
      </c>
      <c r="M64" s="422">
        <v>0</v>
      </c>
      <c r="N64" s="422">
        <v>0</v>
      </c>
      <c r="O64" s="117">
        <v>0</v>
      </c>
      <c r="P64" s="117"/>
      <c r="Q64" s="422"/>
      <c r="R64" s="422"/>
      <c r="S64" s="421"/>
    </row>
    <row r="65" spans="1:19">
      <c r="A65" s="414"/>
      <c r="B65" s="115" t="s">
        <v>122</v>
      </c>
      <c r="C65" s="117">
        <v>4066</v>
      </c>
      <c r="D65" s="422">
        <v>3058</v>
      </c>
      <c r="E65" s="422">
        <v>3231</v>
      </c>
      <c r="F65" s="422">
        <v>10982</v>
      </c>
      <c r="G65" s="422">
        <v>0</v>
      </c>
      <c r="H65" s="422">
        <v>0</v>
      </c>
      <c r="I65" s="422">
        <v>109965</v>
      </c>
      <c r="J65" s="125">
        <v>131302</v>
      </c>
      <c r="K65" s="117">
        <v>0</v>
      </c>
      <c r="L65" s="422">
        <v>0</v>
      </c>
      <c r="M65" s="422">
        <v>0</v>
      </c>
      <c r="N65" s="422">
        <v>0</v>
      </c>
      <c r="O65" s="117">
        <v>0</v>
      </c>
      <c r="P65" s="117">
        <v>0</v>
      </c>
      <c r="Q65" s="422">
        <v>0</v>
      </c>
      <c r="R65" s="422">
        <v>0</v>
      </c>
      <c r="S65" s="421">
        <v>0</v>
      </c>
    </row>
    <row r="66" spans="1:19">
      <c r="A66" s="414"/>
      <c r="B66" s="115" t="s">
        <v>124</v>
      </c>
      <c r="C66" s="117">
        <v>779086.5</v>
      </c>
      <c r="D66" s="422">
        <v>252345</v>
      </c>
      <c r="E66" s="422">
        <v>639792.5</v>
      </c>
      <c r="F66" s="422">
        <v>705081</v>
      </c>
      <c r="G66" s="422"/>
      <c r="H66" s="422">
        <v>61934</v>
      </c>
      <c r="I66" s="422">
        <v>351195</v>
      </c>
      <c r="J66" s="120">
        <v>2789434</v>
      </c>
      <c r="K66" s="117"/>
      <c r="L66" s="422">
        <v>1428000.19</v>
      </c>
      <c r="M66" s="422">
        <v>874478</v>
      </c>
      <c r="N66" s="422">
        <v>233257</v>
      </c>
      <c r="O66" s="120">
        <v>2535735.19</v>
      </c>
      <c r="P66" s="117"/>
      <c r="Q66" s="422"/>
      <c r="R66" s="422"/>
      <c r="S66" s="421"/>
    </row>
    <row r="67" spans="1:19">
      <c r="A67" s="414"/>
      <c r="B67" s="115" t="s">
        <v>125</v>
      </c>
      <c r="C67" s="117">
        <v>4426</v>
      </c>
      <c r="D67" s="422">
        <v>938</v>
      </c>
      <c r="E67" s="422">
        <v>12519</v>
      </c>
      <c r="F67" s="422">
        <v>41190</v>
      </c>
      <c r="G67" s="422">
        <v>0</v>
      </c>
      <c r="H67" s="422">
        <v>0</v>
      </c>
      <c r="I67" s="422">
        <v>293250</v>
      </c>
      <c r="J67" s="124">
        <v>352323</v>
      </c>
      <c r="K67" s="117">
        <v>0</v>
      </c>
      <c r="L67" s="422">
        <v>140958.53</v>
      </c>
      <c r="M67" s="422">
        <v>116792</v>
      </c>
      <c r="N67" s="422">
        <v>26099</v>
      </c>
      <c r="O67" s="124">
        <v>283849.53000000003</v>
      </c>
      <c r="P67" s="117">
        <v>0</v>
      </c>
      <c r="Q67" s="422">
        <v>0</v>
      </c>
      <c r="R67" s="422">
        <v>0</v>
      </c>
      <c r="S67" s="421">
        <v>0</v>
      </c>
    </row>
    <row r="68" spans="1:19">
      <c r="A68" s="414"/>
      <c r="B68" s="115" t="s">
        <v>128</v>
      </c>
      <c r="C68" s="117">
        <v>148639.25</v>
      </c>
      <c r="D68" s="422">
        <v>25309</v>
      </c>
      <c r="E68" s="422">
        <v>66190</v>
      </c>
      <c r="F68" s="422">
        <v>110476</v>
      </c>
      <c r="G68" s="422"/>
      <c r="H68" s="422">
        <v>1282</v>
      </c>
      <c r="I68" s="422">
        <v>109857</v>
      </c>
      <c r="J68" s="122">
        <v>461753.25</v>
      </c>
      <c r="K68" s="117"/>
      <c r="L68" s="422">
        <v>0</v>
      </c>
      <c r="M68" s="422">
        <v>0</v>
      </c>
      <c r="N68" s="422">
        <v>0</v>
      </c>
      <c r="O68" s="117">
        <v>0</v>
      </c>
      <c r="P68" s="117"/>
      <c r="Q68" s="422"/>
      <c r="R68" s="422"/>
      <c r="S68" s="421"/>
    </row>
    <row r="69" spans="1:19">
      <c r="A69" s="416"/>
      <c r="B69" s="115" t="s">
        <v>126</v>
      </c>
      <c r="C69" s="117">
        <v>3829</v>
      </c>
      <c r="D69" s="422">
        <v>3483</v>
      </c>
      <c r="E69" s="422">
        <v>3651</v>
      </c>
      <c r="F69" s="422">
        <v>12622</v>
      </c>
      <c r="G69" s="422">
        <v>0</v>
      </c>
      <c r="H69" s="422">
        <v>0</v>
      </c>
      <c r="I69" s="422">
        <v>103308</v>
      </c>
      <c r="J69" s="117">
        <v>126893</v>
      </c>
      <c r="K69" s="117">
        <v>0</v>
      </c>
      <c r="L69" s="422">
        <v>0</v>
      </c>
      <c r="M69" s="422">
        <v>0</v>
      </c>
      <c r="N69" s="422">
        <v>0</v>
      </c>
      <c r="O69" s="117">
        <v>0</v>
      </c>
      <c r="P69" s="117">
        <v>0</v>
      </c>
      <c r="Q69" s="422">
        <v>0</v>
      </c>
      <c r="R69" s="422">
        <v>0</v>
      </c>
      <c r="S69" s="421">
        <v>0</v>
      </c>
    </row>
    <row r="70" spans="1:19">
      <c r="A70" s="413" t="s">
        <v>200</v>
      </c>
      <c r="B70" s="110" t="s">
        <v>127</v>
      </c>
      <c r="C70" s="418">
        <v>677543</v>
      </c>
      <c r="D70" s="419">
        <v>535013</v>
      </c>
      <c r="E70" s="419"/>
      <c r="F70" s="419">
        <v>169055</v>
      </c>
      <c r="G70" s="419">
        <v>133173</v>
      </c>
      <c r="H70" s="419"/>
      <c r="I70" s="419"/>
      <c r="J70" s="118">
        <v>1514784</v>
      </c>
      <c r="K70" s="418"/>
      <c r="L70" s="419">
        <v>614983</v>
      </c>
      <c r="M70" s="419">
        <v>984397</v>
      </c>
      <c r="N70" s="419">
        <v>98706</v>
      </c>
      <c r="O70" s="118">
        <v>1698086</v>
      </c>
      <c r="P70" s="418"/>
      <c r="Q70" s="419"/>
      <c r="R70" s="419"/>
      <c r="S70" s="420"/>
    </row>
    <row r="71" spans="1:19">
      <c r="A71" s="414"/>
      <c r="B71" s="115" t="s">
        <v>121</v>
      </c>
      <c r="C71" s="117">
        <v>39413</v>
      </c>
      <c r="D71" s="422">
        <v>26477</v>
      </c>
      <c r="E71" s="422">
        <v>0</v>
      </c>
      <c r="F71" s="422">
        <v>8308</v>
      </c>
      <c r="G71" s="422">
        <v>5018</v>
      </c>
      <c r="H71" s="422">
        <v>0</v>
      </c>
      <c r="I71" s="422">
        <v>0</v>
      </c>
      <c r="J71" s="123">
        <v>79216</v>
      </c>
      <c r="K71" s="117">
        <v>0</v>
      </c>
      <c r="L71" s="422">
        <v>66159</v>
      </c>
      <c r="M71" s="422">
        <v>133809</v>
      </c>
      <c r="N71" s="422">
        <v>12673</v>
      </c>
      <c r="O71" s="123">
        <v>212641</v>
      </c>
      <c r="P71" s="117">
        <v>0</v>
      </c>
      <c r="Q71" s="422">
        <v>0</v>
      </c>
      <c r="R71" s="422">
        <v>0</v>
      </c>
      <c r="S71" s="421">
        <v>0</v>
      </c>
    </row>
    <row r="72" spans="1:19">
      <c r="A72" s="414"/>
      <c r="B72" s="115" t="s">
        <v>123</v>
      </c>
      <c r="C72" s="117">
        <v>115855</v>
      </c>
      <c r="D72" s="422">
        <v>86438</v>
      </c>
      <c r="E72" s="422"/>
      <c r="F72" s="422">
        <v>23486</v>
      </c>
      <c r="G72" s="422">
        <v>11096</v>
      </c>
      <c r="H72" s="422"/>
      <c r="I72" s="422"/>
      <c r="J72" s="121">
        <v>236875</v>
      </c>
      <c r="K72" s="117"/>
      <c r="L72" s="422">
        <v>0</v>
      </c>
      <c r="M72" s="422">
        <v>0</v>
      </c>
      <c r="N72" s="422">
        <v>0</v>
      </c>
      <c r="O72" s="117">
        <v>0</v>
      </c>
      <c r="P72" s="117"/>
      <c r="Q72" s="422"/>
      <c r="R72" s="422"/>
      <c r="S72" s="421"/>
    </row>
    <row r="73" spans="1:19">
      <c r="A73" s="414"/>
      <c r="B73" s="115" t="s">
        <v>122</v>
      </c>
      <c r="C73" s="117">
        <v>17562</v>
      </c>
      <c r="D73" s="422">
        <v>2790</v>
      </c>
      <c r="E73" s="422">
        <v>0</v>
      </c>
      <c r="F73" s="422">
        <v>1454</v>
      </c>
      <c r="G73" s="422">
        <v>786</v>
      </c>
      <c r="H73" s="422">
        <v>0</v>
      </c>
      <c r="I73" s="422">
        <v>0</v>
      </c>
      <c r="J73" s="125">
        <v>22592</v>
      </c>
      <c r="K73" s="117">
        <v>0</v>
      </c>
      <c r="L73" s="422">
        <v>0</v>
      </c>
      <c r="M73" s="422">
        <v>0</v>
      </c>
      <c r="N73" s="422">
        <v>0</v>
      </c>
      <c r="O73" s="117">
        <v>0</v>
      </c>
      <c r="P73" s="117">
        <v>0</v>
      </c>
      <c r="Q73" s="422">
        <v>0</v>
      </c>
      <c r="R73" s="422">
        <v>0</v>
      </c>
      <c r="S73" s="421">
        <v>0</v>
      </c>
    </row>
    <row r="74" spans="1:19">
      <c r="A74" s="414"/>
      <c r="B74" s="115" t="s">
        <v>124</v>
      </c>
      <c r="C74" s="117">
        <v>696195</v>
      </c>
      <c r="D74" s="422">
        <v>525101</v>
      </c>
      <c r="E74" s="422"/>
      <c r="F74" s="422">
        <v>159757</v>
      </c>
      <c r="G74" s="422">
        <v>125920</v>
      </c>
      <c r="H74" s="422"/>
      <c r="I74" s="422"/>
      <c r="J74" s="120">
        <v>1506973</v>
      </c>
      <c r="K74" s="117"/>
      <c r="L74" s="422">
        <v>640284</v>
      </c>
      <c r="M74" s="422">
        <v>1024168</v>
      </c>
      <c r="N74" s="422">
        <v>93298</v>
      </c>
      <c r="O74" s="120">
        <v>1757750</v>
      </c>
      <c r="P74" s="117"/>
      <c r="Q74" s="422"/>
      <c r="R74" s="422"/>
      <c r="S74" s="421"/>
    </row>
    <row r="75" spans="1:19">
      <c r="A75" s="414"/>
      <c r="B75" s="115" t="s">
        <v>125</v>
      </c>
      <c r="C75" s="117">
        <v>42263</v>
      </c>
      <c r="D75" s="422">
        <v>20636</v>
      </c>
      <c r="E75" s="422">
        <v>0</v>
      </c>
      <c r="F75" s="422">
        <v>9779</v>
      </c>
      <c r="G75" s="422">
        <v>10937</v>
      </c>
      <c r="H75" s="422">
        <v>0</v>
      </c>
      <c r="I75" s="422">
        <v>0</v>
      </c>
      <c r="J75" s="124">
        <v>83615</v>
      </c>
      <c r="K75" s="117">
        <v>0</v>
      </c>
      <c r="L75" s="422">
        <v>83640</v>
      </c>
      <c r="M75" s="422">
        <v>158885</v>
      </c>
      <c r="N75" s="422">
        <v>7797</v>
      </c>
      <c r="O75" s="124">
        <v>250322</v>
      </c>
      <c r="P75" s="117">
        <v>0</v>
      </c>
      <c r="Q75" s="422">
        <v>0</v>
      </c>
      <c r="R75" s="422">
        <v>0</v>
      </c>
      <c r="S75" s="421">
        <v>0</v>
      </c>
    </row>
    <row r="76" spans="1:19">
      <c r="A76" s="414"/>
      <c r="B76" s="115" t="s">
        <v>128</v>
      </c>
      <c r="C76" s="117">
        <v>116948</v>
      </c>
      <c r="D76" s="422">
        <v>83053</v>
      </c>
      <c r="E76" s="422"/>
      <c r="F76" s="422">
        <v>24100</v>
      </c>
      <c r="G76" s="422">
        <v>9848</v>
      </c>
      <c r="H76" s="422"/>
      <c r="I76" s="422"/>
      <c r="J76" s="122">
        <v>233949</v>
      </c>
      <c r="K76" s="117"/>
      <c r="L76" s="422">
        <v>0</v>
      </c>
      <c r="M76" s="422">
        <v>0</v>
      </c>
      <c r="N76" s="422">
        <v>0</v>
      </c>
      <c r="O76" s="117">
        <v>0</v>
      </c>
      <c r="P76" s="117"/>
      <c r="Q76" s="422"/>
      <c r="R76" s="422"/>
      <c r="S76" s="421"/>
    </row>
    <row r="77" spans="1:19">
      <c r="A77" s="416"/>
      <c r="B77" s="115" t="s">
        <v>126</v>
      </c>
      <c r="C77" s="117">
        <v>20741</v>
      </c>
      <c r="D77" s="422">
        <v>3144</v>
      </c>
      <c r="E77" s="422">
        <v>0</v>
      </c>
      <c r="F77" s="422">
        <v>6453</v>
      </c>
      <c r="G77" s="422">
        <v>1494</v>
      </c>
      <c r="H77" s="422">
        <v>0</v>
      </c>
      <c r="I77" s="422">
        <v>0</v>
      </c>
      <c r="J77" s="117">
        <v>31832</v>
      </c>
      <c r="K77" s="117">
        <v>0</v>
      </c>
      <c r="L77" s="422">
        <v>0</v>
      </c>
      <c r="M77" s="422">
        <v>0</v>
      </c>
      <c r="N77" s="422">
        <v>0</v>
      </c>
      <c r="O77" s="117">
        <v>0</v>
      </c>
      <c r="P77" s="117">
        <v>0</v>
      </c>
      <c r="Q77" s="422">
        <v>0</v>
      </c>
      <c r="R77" s="422">
        <v>0</v>
      </c>
      <c r="S77" s="421">
        <v>0</v>
      </c>
    </row>
    <row r="78" spans="1:19">
      <c r="A78" s="413" t="s">
        <v>201</v>
      </c>
      <c r="B78" s="110" t="s">
        <v>127</v>
      </c>
      <c r="C78" s="418">
        <v>1161988</v>
      </c>
      <c r="D78" s="419">
        <v>843210</v>
      </c>
      <c r="E78" s="419">
        <v>1927229</v>
      </c>
      <c r="F78" s="419">
        <v>173557</v>
      </c>
      <c r="G78" s="419">
        <v>297654</v>
      </c>
      <c r="H78" s="419">
        <v>180378</v>
      </c>
      <c r="I78" s="419">
        <v>0</v>
      </c>
      <c r="J78" s="118">
        <v>4584016</v>
      </c>
      <c r="K78" s="418"/>
      <c r="L78" s="419">
        <v>2985491.0999999996</v>
      </c>
      <c r="M78" s="419">
        <v>3117357.8999999994</v>
      </c>
      <c r="N78" s="419">
        <v>543287.70000000007</v>
      </c>
      <c r="O78" s="118">
        <v>6646136.6999999993</v>
      </c>
      <c r="P78" s="418"/>
      <c r="Q78" s="419"/>
      <c r="R78" s="419"/>
      <c r="S78" s="420"/>
    </row>
    <row r="79" spans="1:19">
      <c r="A79" s="414"/>
      <c r="B79" s="115" t="s">
        <v>121</v>
      </c>
      <c r="C79" s="117">
        <v>36828</v>
      </c>
      <c r="D79" s="422">
        <v>32827</v>
      </c>
      <c r="E79" s="422">
        <v>120615</v>
      </c>
      <c r="F79" s="422">
        <v>22218</v>
      </c>
      <c r="G79" s="422">
        <v>23371</v>
      </c>
      <c r="H79" s="422">
        <v>5633</v>
      </c>
      <c r="I79" s="422">
        <v>0</v>
      </c>
      <c r="J79" s="123">
        <v>241492</v>
      </c>
      <c r="K79" s="117">
        <v>0</v>
      </c>
      <c r="L79" s="422">
        <v>421463.1</v>
      </c>
      <c r="M79" s="422">
        <v>471519.49999999988</v>
      </c>
      <c r="N79" s="422">
        <v>85237.799999999988</v>
      </c>
      <c r="O79" s="123">
        <v>978220.40000000014</v>
      </c>
      <c r="P79" s="117">
        <v>0</v>
      </c>
      <c r="Q79" s="422">
        <v>0</v>
      </c>
      <c r="R79" s="422">
        <v>0</v>
      </c>
      <c r="S79" s="421">
        <v>0</v>
      </c>
    </row>
    <row r="80" spans="1:19">
      <c r="A80" s="414"/>
      <c r="B80" s="115" t="s">
        <v>123</v>
      </c>
      <c r="C80" s="117">
        <v>302346</v>
      </c>
      <c r="D80" s="422">
        <v>134116</v>
      </c>
      <c r="E80" s="422">
        <v>245472</v>
      </c>
      <c r="F80" s="422">
        <v>12728</v>
      </c>
      <c r="G80" s="422">
        <v>17001</v>
      </c>
      <c r="H80" s="422">
        <v>1624</v>
      </c>
      <c r="I80" s="422">
        <v>0</v>
      </c>
      <c r="J80" s="121">
        <v>713287</v>
      </c>
      <c r="K80" s="117"/>
      <c r="L80" s="422">
        <v>0</v>
      </c>
      <c r="M80" s="422">
        <v>0</v>
      </c>
      <c r="N80" s="422">
        <v>0</v>
      </c>
      <c r="O80" s="117">
        <v>0</v>
      </c>
      <c r="P80" s="117"/>
      <c r="Q80" s="422"/>
      <c r="R80" s="422"/>
      <c r="S80" s="421"/>
    </row>
    <row r="81" spans="1:19">
      <c r="A81" s="414"/>
      <c r="B81" s="115" t="s">
        <v>122</v>
      </c>
      <c r="C81" s="117">
        <v>16857</v>
      </c>
      <c r="D81" s="422">
        <v>12341</v>
      </c>
      <c r="E81" s="422">
        <v>63852</v>
      </c>
      <c r="F81" s="422">
        <v>4670</v>
      </c>
      <c r="G81" s="422">
        <v>3088</v>
      </c>
      <c r="H81" s="422">
        <v>120</v>
      </c>
      <c r="I81" s="422">
        <v>0</v>
      </c>
      <c r="J81" s="125">
        <v>100928</v>
      </c>
      <c r="K81" s="117">
        <v>0</v>
      </c>
      <c r="L81" s="422">
        <v>0</v>
      </c>
      <c r="M81" s="422">
        <v>0</v>
      </c>
      <c r="N81" s="422">
        <v>0</v>
      </c>
      <c r="O81" s="117">
        <v>0</v>
      </c>
      <c r="P81" s="117">
        <v>0</v>
      </c>
      <c r="Q81" s="422">
        <v>0</v>
      </c>
      <c r="R81" s="422">
        <v>0</v>
      </c>
      <c r="S81" s="421">
        <v>0</v>
      </c>
    </row>
    <row r="82" spans="1:19">
      <c r="A82" s="414"/>
      <c r="B82" s="115" t="s">
        <v>124</v>
      </c>
      <c r="C82" s="117">
        <v>1191348</v>
      </c>
      <c r="D82" s="422">
        <v>891523</v>
      </c>
      <c r="E82" s="422">
        <v>1967477</v>
      </c>
      <c r="F82" s="422">
        <v>167410</v>
      </c>
      <c r="G82" s="422">
        <v>314725</v>
      </c>
      <c r="H82" s="422">
        <v>182142</v>
      </c>
      <c r="I82" s="422">
        <v>0</v>
      </c>
      <c r="J82" s="120">
        <v>4714625</v>
      </c>
      <c r="K82" s="117"/>
      <c r="L82" s="422">
        <v>3162660</v>
      </c>
      <c r="M82" s="422">
        <v>3233940</v>
      </c>
      <c r="N82" s="422">
        <v>555510</v>
      </c>
      <c r="O82" s="120">
        <v>6952110</v>
      </c>
      <c r="P82" s="117"/>
      <c r="Q82" s="422"/>
      <c r="R82" s="422"/>
      <c r="S82" s="421"/>
    </row>
    <row r="83" spans="1:19">
      <c r="A83" s="414"/>
      <c r="B83" s="115" t="s">
        <v>125</v>
      </c>
      <c r="C83" s="117">
        <v>57481</v>
      </c>
      <c r="D83" s="422">
        <v>44851</v>
      </c>
      <c r="E83" s="422">
        <v>133051</v>
      </c>
      <c r="F83" s="422">
        <v>16706</v>
      </c>
      <c r="G83" s="422">
        <v>35241</v>
      </c>
      <c r="H83" s="422">
        <v>3310</v>
      </c>
      <c r="I83" s="422">
        <v>0</v>
      </c>
      <c r="J83" s="124">
        <v>290640</v>
      </c>
      <c r="K83" s="117">
        <v>0</v>
      </c>
      <c r="L83" s="422">
        <v>535012.19999999995</v>
      </c>
      <c r="M83" s="422">
        <v>617967.6</v>
      </c>
      <c r="N83" s="422">
        <v>95168.700000000012</v>
      </c>
      <c r="O83" s="124">
        <v>1248148.5</v>
      </c>
      <c r="P83" s="117">
        <v>0</v>
      </c>
      <c r="Q83" s="422">
        <v>0</v>
      </c>
      <c r="R83" s="422">
        <v>0</v>
      </c>
      <c r="S83" s="421">
        <v>0</v>
      </c>
    </row>
    <row r="84" spans="1:19">
      <c r="A84" s="414"/>
      <c r="B84" s="115" t="s">
        <v>128</v>
      </c>
      <c r="C84" s="117">
        <v>303666</v>
      </c>
      <c r="D84" s="422">
        <v>137751</v>
      </c>
      <c r="E84" s="422">
        <v>260180</v>
      </c>
      <c r="F84" s="422">
        <v>11314</v>
      </c>
      <c r="G84" s="422">
        <v>19106</v>
      </c>
      <c r="H84" s="422">
        <v>1171</v>
      </c>
      <c r="I84" s="422">
        <v>0</v>
      </c>
      <c r="J84" s="122">
        <v>733188</v>
      </c>
      <c r="K84" s="117"/>
      <c r="L84" s="422">
        <v>0</v>
      </c>
      <c r="M84" s="422">
        <v>0</v>
      </c>
      <c r="N84" s="422">
        <v>0</v>
      </c>
      <c r="O84" s="117">
        <v>0</v>
      </c>
      <c r="P84" s="117"/>
      <c r="Q84" s="422"/>
      <c r="R84" s="422"/>
      <c r="S84" s="421"/>
    </row>
    <row r="85" spans="1:19">
      <c r="A85" s="416"/>
      <c r="B85" s="115" t="s">
        <v>126</v>
      </c>
      <c r="C85" s="117">
        <v>23878</v>
      </c>
      <c r="D85" s="422">
        <v>11758</v>
      </c>
      <c r="E85" s="422">
        <v>72497</v>
      </c>
      <c r="F85" s="422">
        <v>2127</v>
      </c>
      <c r="G85" s="422">
        <v>5292</v>
      </c>
      <c r="H85" s="422">
        <v>234</v>
      </c>
      <c r="I85" s="422">
        <v>0</v>
      </c>
      <c r="J85" s="117">
        <v>115786</v>
      </c>
      <c r="K85" s="117">
        <v>0</v>
      </c>
      <c r="L85" s="422">
        <v>0</v>
      </c>
      <c r="M85" s="422">
        <v>0</v>
      </c>
      <c r="N85" s="422">
        <v>0</v>
      </c>
      <c r="O85" s="117">
        <v>0</v>
      </c>
      <c r="P85" s="117">
        <v>0</v>
      </c>
      <c r="Q85" s="422">
        <v>0</v>
      </c>
      <c r="R85" s="422">
        <v>0</v>
      </c>
      <c r="S85" s="421">
        <v>0</v>
      </c>
    </row>
    <row r="86" spans="1:19">
      <c r="A86" s="413" t="s">
        <v>132</v>
      </c>
      <c r="B86" s="110" t="s">
        <v>127</v>
      </c>
      <c r="C86" s="418">
        <v>1069859</v>
      </c>
      <c r="D86" s="419"/>
      <c r="E86" s="419">
        <v>531559</v>
      </c>
      <c r="F86" s="419"/>
      <c r="G86" s="419">
        <v>540932</v>
      </c>
      <c r="H86" s="419">
        <v>148934</v>
      </c>
      <c r="I86" s="419"/>
      <c r="J86" s="118">
        <v>2291284</v>
      </c>
      <c r="K86" s="418">
        <v>80089</v>
      </c>
      <c r="L86" s="419">
        <v>559636</v>
      </c>
      <c r="M86" s="419">
        <v>361939</v>
      </c>
      <c r="N86" s="419">
        <v>357703</v>
      </c>
      <c r="O86" s="118">
        <v>1359367</v>
      </c>
      <c r="P86" s="418"/>
      <c r="Q86" s="419"/>
      <c r="R86" s="419"/>
      <c r="S86" s="420"/>
    </row>
    <row r="87" spans="1:19">
      <c r="A87" s="414"/>
      <c r="B87" s="115" t="s">
        <v>121</v>
      </c>
      <c r="C87" s="117">
        <v>53929</v>
      </c>
      <c r="D87" s="422">
        <v>0</v>
      </c>
      <c r="E87" s="422">
        <v>17434</v>
      </c>
      <c r="F87" s="422">
        <v>0</v>
      </c>
      <c r="G87" s="422">
        <v>71321</v>
      </c>
      <c r="H87" s="422">
        <v>25908</v>
      </c>
      <c r="I87" s="422">
        <v>0</v>
      </c>
      <c r="J87" s="123">
        <v>168592</v>
      </c>
      <c r="K87" s="117">
        <v>0</v>
      </c>
      <c r="L87" s="422">
        <v>96101</v>
      </c>
      <c r="M87" s="422">
        <v>69880</v>
      </c>
      <c r="N87" s="422">
        <v>62761</v>
      </c>
      <c r="O87" s="123">
        <v>228742</v>
      </c>
      <c r="P87" s="117">
        <v>0</v>
      </c>
      <c r="Q87" s="422">
        <v>0</v>
      </c>
      <c r="R87" s="422">
        <v>0</v>
      </c>
      <c r="S87" s="421">
        <v>0</v>
      </c>
    </row>
    <row r="88" spans="1:19">
      <c r="A88" s="414"/>
      <c r="B88" s="115" t="s">
        <v>123</v>
      </c>
      <c r="C88" s="117">
        <v>175796</v>
      </c>
      <c r="D88" s="422"/>
      <c r="E88" s="422">
        <v>37121</v>
      </c>
      <c r="F88" s="422"/>
      <c r="G88" s="422">
        <v>42458</v>
      </c>
      <c r="H88" s="422">
        <v>0</v>
      </c>
      <c r="I88" s="422"/>
      <c r="J88" s="121">
        <v>255375</v>
      </c>
      <c r="K88" s="117">
        <v>0</v>
      </c>
      <c r="L88" s="422">
        <v>0</v>
      </c>
      <c r="M88" s="422">
        <v>0</v>
      </c>
      <c r="N88" s="422">
        <v>0</v>
      </c>
      <c r="O88" s="117">
        <v>0</v>
      </c>
      <c r="P88" s="117"/>
      <c r="Q88" s="422"/>
      <c r="R88" s="422"/>
      <c r="S88" s="421"/>
    </row>
    <row r="89" spans="1:19">
      <c r="A89" s="414"/>
      <c r="B89" s="115" t="s">
        <v>122</v>
      </c>
      <c r="C89" s="117">
        <v>40840</v>
      </c>
      <c r="D89" s="422">
        <v>0</v>
      </c>
      <c r="E89" s="422">
        <v>2889</v>
      </c>
      <c r="F89" s="422">
        <v>0</v>
      </c>
      <c r="G89" s="422">
        <v>16222</v>
      </c>
      <c r="H89" s="422">
        <v>0</v>
      </c>
      <c r="I89" s="422">
        <v>0</v>
      </c>
      <c r="J89" s="125">
        <v>59951</v>
      </c>
      <c r="K89" s="117">
        <v>0</v>
      </c>
      <c r="L89" s="422">
        <v>0</v>
      </c>
      <c r="M89" s="422">
        <v>0</v>
      </c>
      <c r="N89" s="422">
        <v>0</v>
      </c>
      <c r="O89" s="117">
        <v>0</v>
      </c>
      <c r="P89" s="117">
        <v>0</v>
      </c>
      <c r="Q89" s="422">
        <v>0</v>
      </c>
      <c r="R89" s="422">
        <v>0</v>
      </c>
      <c r="S89" s="421">
        <v>0</v>
      </c>
    </row>
    <row r="90" spans="1:19">
      <c r="A90" s="414"/>
      <c r="B90" s="115" t="s">
        <v>124</v>
      </c>
      <c r="C90" s="117">
        <v>1034006</v>
      </c>
      <c r="D90" s="422"/>
      <c r="E90" s="422">
        <v>511085</v>
      </c>
      <c r="F90" s="422"/>
      <c r="G90" s="422">
        <v>528724</v>
      </c>
      <c r="H90" s="422">
        <v>149161</v>
      </c>
      <c r="I90" s="422"/>
      <c r="J90" s="120">
        <v>2222976</v>
      </c>
      <c r="K90" s="117">
        <v>88090</v>
      </c>
      <c r="L90" s="422">
        <v>579239</v>
      </c>
      <c r="M90" s="422">
        <v>357987</v>
      </c>
      <c r="N90" s="422">
        <v>364550</v>
      </c>
      <c r="O90" s="120">
        <v>1389866</v>
      </c>
      <c r="P90" s="117"/>
      <c r="Q90" s="422"/>
      <c r="R90" s="422"/>
      <c r="S90" s="421"/>
    </row>
    <row r="91" spans="1:19">
      <c r="A91" s="414"/>
      <c r="B91" s="115" t="s">
        <v>125</v>
      </c>
      <c r="C91" s="117">
        <v>53613</v>
      </c>
      <c r="D91" s="422">
        <v>0</v>
      </c>
      <c r="E91" s="422">
        <v>31027</v>
      </c>
      <c r="F91" s="422">
        <v>0</v>
      </c>
      <c r="G91" s="422">
        <v>73927</v>
      </c>
      <c r="H91" s="422">
        <v>29636</v>
      </c>
      <c r="I91" s="422">
        <v>0</v>
      </c>
      <c r="J91" s="124">
        <v>188203</v>
      </c>
      <c r="K91" s="117">
        <v>0</v>
      </c>
      <c r="L91" s="422">
        <v>107264</v>
      </c>
      <c r="M91" s="422">
        <v>69355</v>
      </c>
      <c r="N91" s="422">
        <v>77274</v>
      </c>
      <c r="O91" s="124">
        <v>253893</v>
      </c>
      <c r="P91" s="117">
        <v>0</v>
      </c>
      <c r="Q91" s="422">
        <v>0</v>
      </c>
      <c r="R91" s="422">
        <v>0</v>
      </c>
      <c r="S91" s="421">
        <v>0</v>
      </c>
    </row>
    <row r="92" spans="1:19">
      <c r="A92" s="414"/>
      <c r="B92" s="115" t="s">
        <v>128</v>
      </c>
      <c r="C92" s="117">
        <v>157136</v>
      </c>
      <c r="D92" s="422"/>
      <c r="E92" s="422">
        <v>38114</v>
      </c>
      <c r="F92" s="422"/>
      <c r="G92" s="422">
        <v>44846</v>
      </c>
      <c r="H92" s="422">
        <v>0</v>
      </c>
      <c r="I92" s="422"/>
      <c r="J92" s="122">
        <v>240096</v>
      </c>
      <c r="K92" s="117">
        <v>0</v>
      </c>
      <c r="L92" s="422">
        <v>0</v>
      </c>
      <c r="M92" s="422">
        <v>0</v>
      </c>
      <c r="N92" s="422">
        <v>0</v>
      </c>
      <c r="O92" s="117">
        <v>0</v>
      </c>
      <c r="P92" s="117"/>
      <c r="Q92" s="422"/>
      <c r="R92" s="422"/>
      <c r="S92" s="421"/>
    </row>
    <row r="93" spans="1:19">
      <c r="A93" s="416"/>
      <c r="B93" s="115" t="s">
        <v>126</v>
      </c>
      <c r="C93" s="117">
        <v>18076</v>
      </c>
      <c r="D93" s="422">
        <v>0</v>
      </c>
      <c r="E93" s="422">
        <v>4399</v>
      </c>
      <c r="F93" s="422">
        <v>0</v>
      </c>
      <c r="G93" s="422">
        <v>15170</v>
      </c>
      <c r="H93" s="422">
        <v>0</v>
      </c>
      <c r="I93" s="422">
        <v>0</v>
      </c>
      <c r="J93" s="117">
        <v>37645</v>
      </c>
      <c r="K93" s="117">
        <v>0</v>
      </c>
      <c r="L93" s="422">
        <v>0</v>
      </c>
      <c r="M93" s="422">
        <v>0</v>
      </c>
      <c r="N93" s="422">
        <v>0</v>
      </c>
      <c r="O93" s="117">
        <v>0</v>
      </c>
      <c r="P93" s="117">
        <v>0</v>
      </c>
      <c r="Q93" s="422">
        <v>0</v>
      </c>
      <c r="R93" s="422">
        <v>0</v>
      </c>
      <c r="S93" s="421">
        <v>0</v>
      </c>
    </row>
    <row r="94" spans="1:19">
      <c r="A94" s="413" t="s">
        <v>136</v>
      </c>
      <c r="B94" s="110" t="s">
        <v>127</v>
      </c>
      <c r="C94" s="418">
        <v>980546</v>
      </c>
      <c r="D94" s="419"/>
      <c r="E94" s="419">
        <v>430131</v>
      </c>
      <c r="F94" s="419">
        <v>80748</v>
      </c>
      <c r="G94" s="419">
        <v>488393</v>
      </c>
      <c r="H94" s="419">
        <v>214644</v>
      </c>
      <c r="I94" s="419">
        <v>0</v>
      </c>
      <c r="J94" s="418">
        <v>2194462</v>
      </c>
      <c r="K94" s="418">
        <v>32840</v>
      </c>
      <c r="L94" s="419">
        <v>838519</v>
      </c>
      <c r="M94" s="419">
        <v>889489</v>
      </c>
      <c r="N94" s="419">
        <v>199306</v>
      </c>
      <c r="O94" s="418">
        <v>1960154</v>
      </c>
      <c r="P94" s="418"/>
      <c r="Q94" s="419"/>
      <c r="R94" s="419"/>
      <c r="S94" s="420"/>
    </row>
    <row r="95" spans="1:19">
      <c r="A95" s="414"/>
      <c r="B95" s="115" t="s">
        <v>121</v>
      </c>
      <c r="C95" s="117">
        <v>21587</v>
      </c>
      <c r="D95" s="422">
        <v>0</v>
      </c>
      <c r="E95" s="422">
        <v>0</v>
      </c>
      <c r="F95" s="422">
        <v>33</v>
      </c>
      <c r="G95" s="422">
        <v>4111</v>
      </c>
      <c r="H95" s="422">
        <v>622</v>
      </c>
      <c r="I95" s="422">
        <v>0</v>
      </c>
      <c r="J95" s="117">
        <v>26353</v>
      </c>
      <c r="K95" s="117">
        <v>1333</v>
      </c>
      <c r="L95" s="422">
        <v>45560</v>
      </c>
      <c r="M95" s="422">
        <v>22443</v>
      </c>
      <c r="N95" s="422">
        <v>120</v>
      </c>
      <c r="O95" s="117">
        <v>69456</v>
      </c>
      <c r="P95" s="117">
        <v>0</v>
      </c>
      <c r="Q95" s="422">
        <v>0</v>
      </c>
      <c r="R95" s="422">
        <v>0</v>
      </c>
      <c r="S95" s="421">
        <v>0</v>
      </c>
    </row>
    <row r="96" spans="1:19">
      <c r="A96" s="414"/>
      <c r="B96" s="115" t="s">
        <v>123</v>
      </c>
      <c r="C96" s="117">
        <v>163563</v>
      </c>
      <c r="D96" s="422"/>
      <c r="E96" s="422">
        <v>33157</v>
      </c>
      <c r="F96" s="422">
        <v>15524</v>
      </c>
      <c r="G96" s="422">
        <v>28233</v>
      </c>
      <c r="H96" s="422">
        <v>2669</v>
      </c>
      <c r="I96" s="422">
        <v>0</v>
      </c>
      <c r="J96" s="117">
        <v>243146</v>
      </c>
      <c r="K96" s="117">
        <v>0</v>
      </c>
      <c r="L96" s="422">
        <v>0</v>
      </c>
      <c r="M96" s="422">
        <v>0</v>
      </c>
      <c r="N96" s="422">
        <v>0</v>
      </c>
      <c r="O96" s="117">
        <v>0</v>
      </c>
      <c r="P96" s="117"/>
      <c r="Q96" s="422"/>
      <c r="R96" s="422"/>
      <c r="S96" s="421"/>
    </row>
    <row r="97" spans="1:19">
      <c r="A97" s="414"/>
      <c r="B97" s="115" t="s">
        <v>122</v>
      </c>
      <c r="C97" s="117">
        <v>16937</v>
      </c>
      <c r="D97" s="422">
        <v>0</v>
      </c>
      <c r="E97" s="422">
        <v>132</v>
      </c>
      <c r="F97" s="422">
        <v>0</v>
      </c>
      <c r="G97" s="422">
        <v>2160</v>
      </c>
      <c r="H97" s="422">
        <v>195</v>
      </c>
      <c r="I97" s="422">
        <v>0</v>
      </c>
      <c r="J97" s="117">
        <v>19424</v>
      </c>
      <c r="K97" s="117">
        <v>0</v>
      </c>
      <c r="L97" s="422">
        <v>0</v>
      </c>
      <c r="M97" s="422">
        <v>0</v>
      </c>
      <c r="N97" s="422">
        <v>0</v>
      </c>
      <c r="O97" s="117">
        <v>0</v>
      </c>
      <c r="P97" s="117">
        <v>0</v>
      </c>
      <c r="Q97" s="422">
        <v>0</v>
      </c>
      <c r="R97" s="422">
        <v>0</v>
      </c>
      <c r="S97" s="421">
        <v>0</v>
      </c>
    </row>
    <row r="98" spans="1:19">
      <c r="A98" s="414"/>
      <c r="B98" s="115" t="s">
        <v>124</v>
      </c>
      <c r="C98" s="117">
        <v>1018939</v>
      </c>
      <c r="D98" s="422"/>
      <c r="E98" s="422">
        <v>428374.5</v>
      </c>
      <c r="F98" s="422">
        <v>81587</v>
      </c>
      <c r="G98" s="422">
        <v>502839.5</v>
      </c>
      <c r="H98" s="422">
        <v>218560</v>
      </c>
      <c r="I98" s="422">
        <v>0</v>
      </c>
      <c r="J98" s="117">
        <v>2250300</v>
      </c>
      <c r="K98" s="117">
        <v>35651</v>
      </c>
      <c r="L98" s="422">
        <v>877880.48</v>
      </c>
      <c r="M98" s="422">
        <v>941941.85</v>
      </c>
      <c r="N98" s="422">
        <v>207221.99</v>
      </c>
      <c r="O98" s="117">
        <v>2062695.32</v>
      </c>
      <c r="P98" s="117"/>
      <c r="Q98" s="422"/>
      <c r="R98" s="422"/>
      <c r="S98" s="421"/>
    </row>
    <row r="99" spans="1:19">
      <c r="A99" s="414"/>
      <c r="B99" s="115" t="s">
        <v>125</v>
      </c>
      <c r="C99" s="117">
        <v>27969</v>
      </c>
      <c r="D99" s="422">
        <v>0</v>
      </c>
      <c r="E99" s="422">
        <v>0</v>
      </c>
      <c r="F99" s="422">
        <v>102</v>
      </c>
      <c r="G99" s="422">
        <v>8556.5</v>
      </c>
      <c r="H99" s="422">
        <v>647</v>
      </c>
      <c r="I99" s="422">
        <v>0</v>
      </c>
      <c r="J99" s="117">
        <v>37274.5</v>
      </c>
      <c r="K99" s="117">
        <v>1171</v>
      </c>
      <c r="L99" s="422">
        <v>139206</v>
      </c>
      <c r="M99" s="422">
        <v>156296</v>
      </c>
      <c r="N99" s="422">
        <v>17237</v>
      </c>
      <c r="O99" s="117">
        <v>313910</v>
      </c>
      <c r="P99" s="117">
        <v>0</v>
      </c>
      <c r="Q99" s="422">
        <v>0</v>
      </c>
      <c r="R99" s="422">
        <v>0</v>
      </c>
      <c r="S99" s="421">
        <v>0</v>
      </c>
    </row>
    <row r="100" spans="1:19">
      <c r="A100" s="414"/>
      <c r="B100" s="115" t="s">
        <v>128</v>
      </c>
      <c r="C100" s="117">
        <v>166863</v>
      </c>
      <c r="D100" s="422"/>
      <c r="E100" s="422">
        <v>35469</v>
      </c>
      <c r="F100" s="422">
        <v>15795.5</v>
      </c>
      <c r="G100" s="422">
        <v>27215</v>
      </c>
      <c r="H100" s="422">
        <v>2646</v>
      </c>
      <c r="I100" s="422">
        <v>0</v>
      </c>
      <c r="J100" s="117">
        <v>247988.5</v>
      </c>
      <c r="K100" s="117">
        <v>0</v>
      </c>
      <c r="L100" s="422">
        <v>0</v>
      </c>
      <c r="M100" s="422">
        <v>0</v>
      </c>
      <c r="N100" s="422">
        <v>0</v>
      </c>
      <c r="O100" s="117">
        <v>0</v>
      </c>
      <c r="P100" s="117"/>
      <c r="Q100" s="422"/>
      <c r="R100" s="422"/>
      <c r="S100" s="421"/>
    </row>
    <row r="101" spans="1:19">
      <c r="A101" s="416"/>
      <c r="B101" s="115" t="s">
        <v>126</v>
      </c>
      <c r="C101" s="117">
        <v>27031</v>
      </c>
      <c r="D101" s="422">
        <v>0</v>
      </c>
      <c r="E101" s="422">
        <v>288</v>
      </c>
      <c r="F101" s="422">
        <v>581</v>
      </c>
      <c r="G101" s="422">
        <v>2757</v>
      </c>
      <c r="H101" s="422">
        <v>213</v>
      </c>
      <c r="I101" s="422">
        <v>0</v>
      </c>
      <c r="J101" s="117">
        <v>30870</v>
      </c>
      <c r="K101" s="117">
        <v>0</v>
      </c>
      <c r="L101" s="422">
        <v>0</v>
      </c>
      <c r="M101" s="422">
        <v>0</v>
      </c>
      <c r="N101" s="422">
        <v>0</v>
      </c>
      <c r="O101" s="117">
        <v>0</v>
      </c>
      <c r="P101" s="117">
        <v>0</v>
      </c>
      <c r="Q101" s="422">
        <v>0</v>
      </c>
      <c r="R101" s="422">
        <v>0</v>
      </c>
      <c r="S101" s="421">
        <v>0</v>
      </c>
    </row>
    <row r="102" spans="1:19">
      <c r="A102" s="413" t="s">
        <v>137</v>
      </c>
      <c r="B102" s="413" t="s">
        <v>127</v>
      </c>
      <c r="C102" s="432">
        <v>0</v>
      </c>
      <c r="D102" s="433">
        <v>0</v>
      </c>
      <c r="E102" s="433">
        <v>0</v>
      </c>
      <c r="F102" s="433">
        <v>0</v>
      </c>
      <c r="G102" s="433">
        <v>0</v>
      </c>
      <c r="H102" s="433"/>
      <c r="I102" s="433">
        <v>0</v>
      </c>
      <c r="J102" s="432">
        <v>0</v>
      </c>
      <c r="K102" s="432"/>
      <c r="L102" s="433">
        <v>0</v>
      </c>
      <c r="M102" s="433">
        <v>0</v>
      </c>
      <c r="N102" s="433">
        <v>0</v>
      </c>
      <c r="O102" s="432">
        <v>0</v>
      </c>
      <c r="P102" s="432"/>
      <c r="Q102" s="433">
        <v>9254787</v>
      </c>
      <c r="R102" s="433"/>
      <c r="S102" s="435">
        <v>9254787</v>
      </c>
    </row>
    <row r="103" spans="1:19">
      <c r="A103" s="414"/>
      <c r="B103" s="447" t="s">
        <v>121</v>
      </c>
      <c r="C103" s="436">
        <v>0</v>
      </c>
      <c r="D103" s="449">
        <v>0</v>
      </c>
      <c r="E103" s="449">
        <v>0</v>
      </c>
      <c r="F103" s="449">
        <v>0</v>
      </c>
      <c r="G103" s="449">
        <v>0</v>
      </c>
      <c r="H103" s="449">
        <v>0</v>
      </c>
      <c r="I103" s="449">
        <v>0</v>
      </c>
      <c r="J103" s="436">
        <v>0</v>
      </c>
      <c r="K103" s="436">
        <v>0</v>
      </c>
      <c r="L103" s="449">
        <v>0</v>
      </c>
      <c r="M103" s="449">
        <v>0</v>
      </c>
      <c r="N103" s="449">
        <v>0</v>
      </c>
      <c r="O103" s="436">
        <v>0</v>
      </c>
      <c r="P103" s="436">
        <v>0</v>
      </c>
      <c r="Q103" s="449">
        <v>0</v>
      </c>
      <c r="R103" s="449">
        <v>0</v>
      </c>
      <c r="S103" s="439">
        <v>0</v>
      </c>
    </row>
    <row r="104" spans="1:19">
      <c r="A104" s="414"/>
      <c r="B104" s="447" t="s">
        <v>123</v>
      </c>
      <c r="C104" s="436">
        <v>0</v>
      </c>
      <c r="D104" s="449">
        <v>0</v>
      </c>
      <c r="E104" s="449">
        <v>0</v>
      </c>
      <c r="F104" s="449">
        <v>0</v>
      </c>
      <c r="G104" s="449">
        <v>0</v>
      </c>
      <c r="H104" s="449"/>
      <c r="I104" s="449">
        <v>0</v>
      </c>
      <c r="J104" s="436">
        <v>0</v>
      </c>
      <c r="K104" s="436"/>
      <c r="L104" s="449">
        <v>0</v>
      </c>
      <c r="M104" s="449">
        <v>0</v>
      </c>
      <c r="N104" s="449">
        <v>0</v>
      </c>
      <c r="O104" s="436">
        <v>0</v>
      </c>
      <c r="P104" s="436"/>
      <c r="Q104" s="449">
        <v>0</v>
      </c>
      <c r="R104" s="449"/>
      <c r="S104" s="439">
        <v>0</v>
      </c>
    </row>
    <row r="105" spans="1:19">
      <c r="A105" s="414"/>
      <c r="B105" s="447" t="s">
        <v>122</v>
      </c>
      <c r="C105" s="436">
        <v>0</v>
      </c>
      <c r="D105" s="449">
        <v>0</v>
      </c>
      <c r="E105" s="449">
        <v>0</v>
      </c>
      <c r="F105" s="449">
        <v>0</v>
      </c>
      <c r="G105" s="449">
        <v>0</v>
      </c>
      <c r="H105" s="449">
        <v>0</v>
      </c>
      <c r="I105" s="449">
        <v>0</v>
      </c>
      <c r="J105" s="436">
        <v>0</v>
      </c>
      <c r="K105" s="436">
        <v>0</v>
      </c>
      <c r="L105" s="449">
        <v>0</v>
      </c>
      <c r="M105" s="449">
        <v>0</v>
      </c>
      <c r="N105" s="449">
        <v>0</v>
      </c>
      <c r="O105" s="436">
        <v>0</v>
      </c>
      <c r="P105" s="436">
        <v>0</v>
      </c>
      <c r="Q105" s="449">
        <v>0</v>
      </c>
      <c r="R105" s="449">
        <v>0</v>
      </c>
      <c r="S105" s="439">
        <v>0</v>
      </c>
    </row>
    <row r="106" spans="1:19">
      <c r="A106" s="414"/>
      <c r="B106" s="447" t="s">
        <v>124</v>
      </c>
      <c r="C106" s="436">
        <v>621070</v>
      </c>
      <c r="D106" s="449">
        <v>400979</v>
      </c>
      <c r="E106" s="449">
        <v>1276288</v>
      </c>
      <c r="F106" s="449">
        <v>441106</v>
      </c>
      <c r="G106" s="449">
        <v>184664</v>
      </c>
      <c r="H106" s="449"/>
      <c r="I106" s="449">
        <v>0</v>
      </c>
      <c r="J106" s="436">
        <v>2924107</v>
      </c>
      <c r="K106" s="436"/>
      <c r="L106" s="449">
        <v>577619</v>
      </c>
      <c r="M106" s="449">
        <v>976795</v>
      </c>
      <c r="N106" s="449">
        <v>51542</v>
      </c>
      <c r="O106" s="436">
        <v>1605956</v>
      </c>
      <c r="P106" s="436"/>
      <c r="Q106" s="449">
        <v>9933530</v>
      </c>
      <c r="R106" s="449"/>
      <c r="S106" s="439">
        <v>9933530</v>
      </c>
    </row>
    <row r="107" spans="1:19">
      <c r="A107" s="414"/>
      <c r="B107" s="447" t="s">
        <v>125</v>
      </c>
      <c r="C107" s="436">
        <v>83713</v>
      </c>
      <c r="D107" s="449">
        <v>37652</v>
      </c>
      <c r="E107" s="449">
        <v>122340</v>
      </c>
      <c r="F107" s="449">
        <v>82450</v>
      </c>
      <c r="G107" s="449">
        <v>7747</v>
      </c>
      <c r="H107" s="449">
        <v>0</v>
      </c>
      <c r="I107" s="449">
        <v>0</v>
      </c>
      <c r="J107" s="436">
        <v>333902</v>
      </c>
      <c r="K107" s="436">
        <v>0</v>
      </c>
      <c r="L107" s="449">
        <v>82914</v>
      </c>
      <c r="M107" s="449">
        <v>201657</v>
      </c>
      <c r="N107" s="449">
        <v>11289</v>
      </c>
      <c r="O107" s="436">
        <v>295860</v>
      </c>
      <c r="P107" s="436">
        <v>0</v>
      </c>
      <c r="Q107" s="449">
        <v>0</v>
      </c>
      <c r="R107" s="449">
        <v>0</v>
      </c>
      <c r="S107" s="439">
        <v>0</v>
      </c>
    </row>
    <row r="108" spans="1:19">
      <c r="A108" s="414"/>
      <c r="B108" s="447" t="s">
        <v>128</v>
      </c>
      <c r="C108" s="436">
        <v>122357</v>
      </c>
      <c r="D108" s="449">
        <v>76532</v>
      </c>
      <c r="E108" s="449">
        <v>135710</v>
      </c>
      <c r="F108" s="449">
        <v>44582</v>
      </c>
      <c r="G108" s="449">
        <v>6274</v>
      </c>
      <c r="H108" s="449"/>
      <c r="I108" s="449">
        <v>0</v>
      </c>
      <c r="J108" s="436">
        <v>385455</v>
      </c>
      <c r="K108" s="436"/>
      <c r="L108" s="449">
        <v>0</v>
      </c>
      <c r="M108" s="449">
        <v>0</v>
      </c>
      <c r="N108" s="449">
        <v>0</v>
      </c>
      <c r="O108" s="436">
        <v>0</v>
      </c>
      <c r="P108" s="436"/>
      <c r="Q108" s="449">
        <v>0</v>
      </c>
      <c r="R108" s="449"/>
      <c r="S108" s="439">
        <v>0</v>
      </c>
    </row>
    <row r="109" spans="1:19">
      <c r="A109" s="416"/>
      <c r="B109" s="447" t="s">
        <v>126</v>
      </c>
      <c r="C109" s="436">
        <v>17800</v>
      </c>
      <c r="D109" s="449">
        <v>8226</v>
      </c>
      <c r="E109" s="449">
        <v>20596</v>
      </c>
      <c r="F109" s="449">
        <v>16791</v>
      </c>
      <c r="G109" s="449">
        <v>3896</v>
      </c>
      <c r="H109" s="449">
        <v>0</v>
      </c>
      <c r="I109" s="449">
        <v>0</v>
      </c>
      <c r="J109" s="436">
        <v>67309</v>
      </c>
      <c r="K109" s="436">
        <v>0</v>
      </c>
      <c r="L109" s="449">
        <v>0</v>
      </c>
      <c r="M109" s="449">
        <v>0</v>
      </c>
      <c r="N109" s="449">
        <v>0</v>
      </c>
      <c r="O109" s="436">
        <v>0</v>
      </c>
      <c r="P109" s="436">
        <v>0</v>
      </c>
      <c r="Q109" s="449">
        <v>0</v>
      </c>
      <c r="R109" s="449">
        <v>0</v>
      </c>
      <c r="S109" s="439">
        <v>0</v>
      </c>
    </row>
    <row r="110" spans="1:19">
      <c r="A110" s="413" t="s">
        <v>133</v>
      </c>
      <c r="B110" s="110" t="s">
        <v>127</v>
      </c>
      <c r="C110" s="418">
        <v>4793401</v>
      </c>
      <c r="D110" s="419">
        <v>581870</v>
      </c>
      <c r="E110" s="419">
        <v>4281447</v>
      </c>
      <c r="F110" s="419">
        <v>267443</v>
      </c>
      <c r="G110" s="419">
        <v>294066</v>
      </c>
      <c r="H110" s="419">
        <v>44832</v>
      </c>
      <c r="I110" s="419"/>
      <c r="J110" s="118">
        <v>10263059</v>
      </c>
      <c r="K110" s="418"/>
      <c r="L110" s="419">
        <v>8275648</v>
      </c>
      <c r="M110" s="419">
        <v>2700688</v>
      </c>
      <c r="N110" s="419">
        <v>530901</v>
      </c>
      <c r="O110" s="118">
        <v>11507237</v>
      </c>
      <c r="P110" s="418"/>
      <c r="Q110" s="419"/>
      <c r="R110" s="419"/>
      <c r="S110" s="420"/>
    </row>
    <row r="111" spans="1:19">
      <c r="A111" s="414"/>
      <c r="B111" s="115" t="s">
        <v>121</v>
      </c>
      <c r="C111" s="117">
        <v>208963</v>
      </c>
      <c r="D111" s="422">
        <v>34223</v>
      </c>
      <c r="E111" s="422">
        <v>173761</v>
      </c>
      <c r="F111" s="422">
        <v>29466</v>
      </c>
      <c r="G111" s="422">
        <v>43161</v>
      </c>
      <c r="H111" s="422">
        <v>0</v>
      </c>
      <c r="I111" s="422">
        <v>0</v>
      </c>
      <c r="J111" s="123">
        <v>489574</v>
      </c>
      <c r="K111" s="117">
        <v>0</v>
      </c>
      <c r="L111" s="422">
        <v>1075763</v>
      </c>
      <c r="M111" s="422">
        <v>361528</v>
      </c>
      <c r="N111" s="422">
        <v>81585</v>
      </c>
      <c r="O111" s="123">
        <v>1518876</v>
      </c>
      <c r="P111" s="117">
        <v>0</v>
      </c>
      <c r="Q111" s="422">
        <v>0</v>
      </c>
      <c r="R111" s="422">
        <v>0</v>
      </c>
      <c r="S111" s="421">
        <v>0</v>
      </c>
    </row>
    <row r="112" spans="1:19">
      <c r="A112" s="414"/>
      <c r="B112" s="115" t="s">
        <v>123</v>
      </c>
      <c r="C112" s="117">
        <v>966526</v>
      </c>
      <c r="D112" s="422">
        <v>135435</v>
      </c>
      <c r="E112" s="422">
        <v>583778</v>
      </c>
      <c r="F112" s="422">
        <v>42571</v>
      </c>
      <c r="G112" s="422">
        <v>24947</v>
      </c>
      <c r="H112" s="422">
        <v>604</v>
      </c>
      <c r="I112" s="422"/>
      <c r="J112" s="121">
        <v>1753861</v>
      </c>
      <c r="K112" s="117"/>
      <c r="L112" s="422">
        <v>0</v>
      </c>
      <c r="M112" s="422">
        <v>0</v>
      </c>
      <c r="N112" s="422">
        <v>0</v>
      </c>
      <c r="O112" s="117">
        <v>0</v>
      </c>
      <c r="P112" s="117"/>
      <c r="Q112" s="422"/>
      <c r="R112" s="422"/>
      <c r="S112" s="421"/>
    </row>
    <row r="113" spans="1:19">
      <c r="A113" s="414"/>
      <c r="B113" s="115" t="s">
        <v>122</v>
      </c>
      <c r="C113" s="117">
        <v>68746</v>
      </c>
      <c r="D113" s="422">
        <v>43307</v>
      </c>
      <c r="E113" s="422">
        <v>90519</v>
      </c>
      <c r="F113" s="422">
        <v>9274</v>
      </c>
      <c r="G113" s="422">
        <v>14751</v>
      </c>
      <c r="H113" s="422">
        <v>0</v>
      </c>
      <c r="I113" s="422">
        <v>0</v>
      </c>
      <c r="J113" s="125">
        <v>226597</v>
      </c>
      <c r="K113" s="117">
        <v>0</v>
      </c>
      <c r="L113" s="422">
        <v>0</v>
      </c>
      <c r="M113" s="422">
        <v>0</v>
      </c>
      <c r="N113" s="422">
        <v>0</v>
      </c>
      <c r="O113" s="117">
        <v>0</v>
      </c>
      <c r="P113" s="117">
        <v>0</v>
      </c>
      <c r="Q113" s="422">
        <v>0</v>
      </c>
      <c r="R113" s="422">
        <v>0</v>
      </c>
      <c r="S113" s="421">
        <v>0</v>
      </c>
    </row>
    <row r="114" spans="1:19">
      <c r="A114" s="414"/>
      <c r="B114" s="115" t="s">
        <v>124</v>
      </c>
      <c r="C114" s="117">
        <v>4866655</v>
      </c>
      <c r="D114" s="422">
        <v>596268</v>
      </c>
      <c r="E114" s="422">
        <v>4274961</v>
      </c>
      <c r="F114" s="422">
        <v>287978</v>
      </c>
      <c r="G114" s="422">
        <v>305807</v>
      </c>
      <c r="H114" s="422">
        <v>44481</v>
      </c>
      <c r="I114" s="422"/>
      <c r="J114" s="120">
        <v>10376150</v>
      </c>
      <c r="K114" s="117"/>
      <c r="L114" s="422">
        <v>8616345</v>
      </c>
      <c r="M114" s="422">
        <v>2795185</v>
      </c>
      <c r="N114" s="422">
        <v>553231</v>
      </c>
      <c r="O114" s="120">
        <v>11964761</v>
      </c>
      <c r="P114" s="117"/>
      <c r="Q114" s="422"/>
      <c r="R114" s="422"/>
      <c r="S114" s="421"/>
    </row>
    <row r="115" spans="1:19">
      <c r="A115" s="414"/>
      <c r="B115" s="115" t="s">
        <v>125</v>
      </c>
      <c r="C115" s="117">
        <v>241333</v>
      </c>
      <c r="D115" s="422">
        <v>45814</v>
      </c>
      <c r="E115" s="422">
        <v>185618</v>
      </c>
      <c r="F115" s="422">
        <v>30673</v>
      </c>
      <c r="G115" s="422">
        <v>54183</v>
      </c>
      <c r="H115" s="422">
        <v>0</v>
      </c>
      <c r="I115" s="422">
        <v>0</v>
      </c>
      <c r="J115" s="124">
        <v>557621</v>
      </c>
      <c r="K115" s="117">
        <v>0</v>
      </c>
      <c r="L115" s="422">
        <v>1278801</v>
      </c>
      <c r="M115" s="422">
        <v>432440</v>
      </c>
      <c r="N115" s="422">
        <v>114178</v>
      </c>
      <c r="O115" s="124">
        <v>1825419</v>
      </c>
      <c r="P115" s="117">
        <v>0</v>
      </c>
      <c r="Q115" s="422">
        <v>0</v>
      </c>
      <c r="R115" s="422">
        <v>0</v>
      </c>
      <c r="S115" s="421">
        <v>0</v>
      </c>
    </row>
    <row r="116" spans="1:19">
      <c r="A116" s="414"/>
      <c r="B116" s="115" t="s">
        <v>128</v>
      </c>
      <c r="C116" s="117">
        <v>991581</v>
      </c>
      <c r="D116" s="422">
        <v>137809</v>
      </c>
      <c r="E116" s="422">
        <v>640295</v>
      </c>
      <c r="F116" s="422">
        <v>45243</v>
      </c>
      <c r="G116" s="422">
        <v>27491</v>
      </c>
      <c r="H116" s="422">
        <v>824</v>
      </c>
      <c r="I116" s="422"/>
      <c r="J116" s="122">
        <v>1843243</v>
      </c>
      <c r="K116" s="117"/>
      <c r="L116" s="422">
        <v>0</v>
      </c>
      <c r="M116" s="422">
        <v>0</v>
      </c>
      <c r="N116" s="422">
        <v>0</v>
      </c>
      <c r="O116" s="117">
        <v>0</v>
      </c>
      <c r="P116" s="117"/>
      <c r="Q116" s="422"/>
      <c r="R116" s="422"/>
      <c r="S116" s="421"/>
    </row>
    <row r="117" spans="1:19">
      <c r="A117" s="416"/>
      <c r="B117" s="115" t="s">
        <v>126</v>
      </c>
      <c r="C117" s="117">
        <v>79570</v>
      </c>
      <c r="D117" s="422">
        <v>43951</v>
      </c>
      <c r="E117" s="422">
        <v>159552</v>
      </c>
      <c r="F117" s="422">
        <v>10395</v>
      </c>
      <c r="G117" s="422">
        <v>17352</v>
      </c>
      <c r="H117" s="422">
        <v>0</v>
      </c>
      <c r="I117" s="422">
        <v>0</v>
      </c>
      <c r="J117" s="117">
        <v>310820</v>
      </c>
      <c r="K117" s="117">
        <v>0</v>
      </c>
      <c r="L117" s="422">
        <v>0</v>
      </c>
      <c r="M117" s="422">
        <v>0</v>
      </c>
      <c r="N117" s="422">
        <v>0</v>
      </c>
      <c r="O117" s="117">
        <v>0</v>
      </c>
      <c r="P117" s="117">
        <v>0</v>
      </c>
      <c r="Q117" s="422">
        <v>0</v>
      </c>
      <c r="R117" s="422">
        <v>0</v>
      </c>
      <c r="S117" s="421">
        <v>0</v>
      </c>
    </row>
    <row r="118" spans="1:19">
      <c r="A118" s="413" t="s">
        <v>138</v>
      </c>
      <c r="B118" s="110" t="s">
        <v>127</v>
      </c>
      <c r="C118" s="418">
        <v>0</v>
      </c>
      <c r="D118" s="419"/>
      <c r="E118" s="419"/>
      <c r="F118" s="419"/>
      <c r="G118" s="419"/>
      <c r="H118" s="419"/>
      <c r="I118" s="419"/>
      <c r="J118" s="418">
        <v>0</v>
      </c>
      <c r="K118" s="418"/>
      <c r="L118" s="419"/>
      <c r="M118" s="419"/>
      <c r="N118" s="419"/>
      <c r="O118" s="418"/>
      <c r="P118" s="418"/>
      <c r="Q118" s="419"/>
      <c r="R118" s="419"/>
      <c r="S118" s="420"/>
    </row>
    <row r="119" spans="1:19">
      <c r="A119" s="414"/>
      <c r="B119" s="115" t="s">
        <v>121</v>
      </c>
      <c r="C119" s="117">
        <v>0</v>
      </c>
      <c r="D119" s="422">
        <v>0</v>
      </c>
      <c r="E119" s="422">
        <v>0</v>
      </c>
      <c r="F119" s="422">
        <v>0</v>
      </c>
      <c r="G119" s="422">
        <v>0</v>
      </c>
      <c r="H119" s="422">
        <v>0</v>
      </c>
      <c r="I119" s="422">
        <v>0</v>
      </c>
      <c r="J119" s="117">
        <v>0</v>
      </c>
      <c r="K119" s="117">
        <v>0</v>
      </c>
      <c r="L119" s="422">
        <v>0</v>
      </c>
      <c r="M119" s="422">
        <v>0</v>
      </c>
      <c r="N119" s="422">
        <v>0</v>
      </c>
      <c r="O119" s="117">
        <v>0</v>
      </c>
      <c r="P119" s="117">
        <v>0</v>
      </c>
      <c r="Q119" s="422">
        <v>0</v>
      </c>
      <c r="R119" s="422">
        <v>0</v>
      </c>
      <c r="S119" s="421">
        <v>0</v>
      </c>
    </row>
    <row r="120" spans="1:19">
      <c r="A120" s="414"/>
      <c r="B120" s="115" t="s">
        <v>123</v>
      </c>
      <c r="C120" s="117">
        <v>0</v>
      </c>
      <c r="D120" s="422"/>
      <c r="E120" s="422"/>
      <c r="F120" s="422"/>
      <c r="G120" s="422"/>
      <c r="H120" s="422"/>
      <c r="I120" s="422"/>
      <c r="J120" s="117">
        <v>0</v>
      </c>
      <c r="K120" s="117"/>
      <c r="L120" s="422"/>
      <c r="M120" s="422"/>
      <c r="N120" s="422"/>
      <c r="O120" s="117"/>
      <c r="P120" s="117"/>
      <c r="Q120" s="422"/>
      <c r="R120" s="422"/>
      <c r="S120" s="421"/>
    </row>
    <row r="121" spans="1:19">
      <c r="A121" s="414"/>
      <c r="B121" s="115" t="s">
        <v>122</v>
      </c>
      <c r="C121" s="117">
        <v>0</v>
      </c>
      <c r="D121" s="422">
        <v>0</v>
      </c>
      <c r="E121" s="422">
        <v>0</v>
      </c>
      <c r="F121" s="422">
        <v>0</v>
      </c>
      <c r="G121" s="422">
        <v>0</v>
      </c>
      <c r="H121" s="422">
        <v>0</v>
      </c>
      <c r="I121" s="422">
        <v>0</v>
      </c>
      <c r="J121" s="117">
        <v>0</v>
      </c>
      <c r="K121" s="117">
        <v>0</v>
      </c>
      <c r="L121" s="422">
        <v>0</v>
      </c>
      <c r="M121" s="422">
        <v>0</v>
      </c>
      <c r="N121" s="422">
        <v>0</v>
      </c>
      <c r="O121" s="117">
        <v>0</v>
      </c>
      <c r="P121" s="117">
        <v>0</v>
      </c>
      <c r="Q121" s="422">
        <v>0</v>
      </c>
      <c r="R121" s="422">
        <v>0</v>
      </c>
      <c r="S121" s="421">
        <v>0</v>
      </c>
    </row>
    <row r="122" spans="1:19">
      <c r="A122" s="414"/>
      <c r="B122" s="115" t="s">
        <v>124</v>
      </c>
      <c r="C122" s="117">
        <v>0</v>
      </c>
      <c r="D122" s="422"/>
      <c r="E122" s="422"/>
      <c r="F122" s="422"/>
      <c r="G122" s="422"/>
      <c r="H122" s="422"/>
      <c r="I122" s="422"/>
      <c r="J122" s="117">
        <v>0</v>
      </c>
      <c r="K122" s="117"/>
      <c r="L122" s="422"/>
      <c r="M122" s="422"/>
      <c r="N122" s="422"/>
      <c r="O122" s="117"/>
      <c r="P122" s="117"/>
      <c r="Q122" s="422"/>
      <c r="R122" s="422"/>
      <c r="S122" s="421"/>
    </row>
    <row r="123" spans="1:19">
      <c r="A123" s="414"/>
      <c r="B123" s="115" t="s">
        <v>125</v>
      </c>
      <c r="C123" s="117">
        <v>0</v>
      </c>
      <c r="D123" s="422">
        <v>0</v>
      </c>
      <c r="E123" s="422">
        <v>0</v>
      </c>
      <c r="F123" s="422">
        <v>0</v>
      </c>
      <c r="G123" s="422">
        <v>0</v>
      </c>
      <c r="H123" s="422">
        <v>0</v>
      </c>
      <c r="I123" s="422">
        <v>0</v>
      </c>
      <c r="J123" s="117">
        <v>0</v>
      </c>
      <c r="K123" s="117">
        <v>0</v>
      </c>
      <c r="L123" s="422">
        <v>0</v>
      </c>
      <c r="M123" s="422">
        <v>0</v>
      </c>
      <c r="N123" s="422">
        <v>0</v>
      </c>
      <c r="O123" s="117">
        <v>0</v>
      </c>
      <c r="P123" s="117">
        <v>0</v>
      </c>
      <c r="Q123" s="422">
        <v>0</v>
      </c>
      <c r="R123" s="422">
        <v>0</v>
      </c>
      <c r="S123" s="421">
        <v>0</v>
      </c>
    </row>
    <row r="124" spans="1:19">
      <c r="A124" s="414"/>
      <c r="B124" s="115" t="s">
        <v>128</v>
      </c>
      <c r="C124" s="117">
        <v>0</v>
      </c>
      <c r="D124" s="422"/>
      <c r="E124" s="422"/>
      <c r="F124" s="422"/>
      <c r="G124" s="422"/>
      <c r="H124" s="422"/>
      <c r="I124" s="422"/>
      <c r="J124" s="117">
        <v>0</v>
      </c>
      <c r="K124" s="117"/>
      <c r="L124" s="422"/>
      <c r="M124" s="422"/>
      <c r="N124" s="422"/>
      <c r="O124" s="117"/>
      <c r="P124" s="117"/>
      <c r="Q124" s="422"/>
      <c r="R124" s="422"/>
      <c r="S124" s="421"/>
    </row>
    <row r="125" spans="1:19">
      <c r="A125" s="416"/>
      <c r="B125" s="115" t="s">
        <v>126</v>
      </c>
      <c r="C125" s="117">
        <v>0</v>
      </c>
      <c r="D125" s="422">
        <v>0</v>
      </c>
      <c r="E125" s="422">
        <v>0</v>
      </c>
      <c r="F125" s="422">
        <v>0</v>
      </c>
      <c r="G125" s="422">
        <v>0</v>
      </c>
      <c r="H125" s="422">
        <v>0</v>
      </c>
      <c r="I125" s="422">
        <v>0</v>
      </c>
      <c r="J125" s="117">
        <v>0</v>
      </c>
      <c r="K125" s="117">
        <v>0</v>
      </c>
      <c r="L125" s="422">
        <v>0</v>
      </c>
      <c r="M125" s="422">
        <v>0</v>
      </c>
      <c r="N125" s="422">
        <v>0</v>
      </c>
      <c r="O125" s="117">
        <v>0</v>
      </c>
      <c r="P125" s="117">
        <v>0</v>
      </c>
      <c r="Q125" s="422">
        <v>0</v>
      </c>
      <c r="R125" s="422">
        <v>0</v>
      </c>
      <c r="S125" s="421">
        <v>0</v>
      </c>
    </row>
    <row r="126" spans="1:19">
      <c r="A126" s="413" t="s">
        <v>199</v>
      </c>
      <c r="B126" s="413" t="s">
        <v>127</v>
      </c>
      <c r="C126" s="432">
        <v>622418</v>
      </c>
      <c r="D126" s="433"/>
      <c r="E126" s="433">
        <v>257348</v>
      </c>
      <c r="F126" s="433"/>
      <c r="G126" s="433"/>
      <c r="H126" s="433">
        <v>554423</v>
      </c>
      <c r="I126" s="433"/>
      <c r="J126" s="434">
        <v>1434189</v>
      </c>
      <c r="K126" s="432">
        <v>84369</v>
      </c>
      <c r="L126" s="433"/>
      <c r="M126" s="433">
        <v>55730</v>
      </c>
      <c r="N126" s="433">
        <v>28553</v>
      </c>
      <c r="O126" s="434">
        <v>168652</v>
      </c>
      <c r="P126" s="432"/>
      <c r="Q126" s="433"/>
      <c r="R126" s="433"/>
      <c r="S126" s="435"/>
    </row>
    <row r="127" spans="1:19">
      <c r="A127" s="414"/>
      <c r="B127" s="447" t="s">
        <v>121</v>
      </c>
      <c r="C127" s="436">
        <v>28739</v>
      </c>
      <c r="D127" s="449">
        <v>0</v>
      </c>
      <c r="E127" s="449">
        <v>26158</v>
      </c>
      <c r="F127" s="449">
        <v>0</v>
      </c>
      <c r="G127" s="449">
        <v>0</v>
      </c>
      <c r="H127" s="449">
        <v>29367</v>
      </c>
      <c r="I127" s="449">
        <v>0</v>
      </c>
      <c r="J127" s="438">
        <v>84264</v>
      </c>
      <c r="K127" s="436">
        <v>14325</v>
      </c>
      <c r="L127" s="449">
        <v>0</v>
      </c>
      <c r="M127" s="449">
        <v>3954</v>
      </c>
      <c r="N127" s="449">
        <v>4565</v>
      </c>
      <c r="O127" s="438">
        <v>22844</v>
      </c>
      <c r="P127" s="436">
        <v>0</v>
      </c>
      <c r="Q127" s="449">
        <v>0</v>
      </c>
      <c r="R127" s="449">
        <v>0</v>
      </c>
      <c r="S127" s="439">
        <v>0</v>
      </c>
    </row>
    <row r="128" spans="1:19">
      <c r="A128" s="414"/>
      <c r="B128" s="447" t="s">
        <v>123</v>
      </c>
      <c r="C128" s="436">
        <v>111142</v>
      </c>
      <c r="D128" s="449"/>
      <c r="E128" s="449">
        <v>57249</v>
      </c>
      <c r="F128" s="449"/>
      <c r="G128" s="449"/>
      <c r="H128" s="449">
        <v>9527</v>
      </c>
      <c r="I128" s="449"/>
      <c r="J128" s="440">
        <v>177918</v>
      </c>
      <c r="K128" s="436">
        <v>0</v>
      </c>
      <c r="L128" s="449"/>
      <c r="M128" s="449">
        <v>0</v>
      </c>
      <c r="N128" s="449">
        <v>0</v>
      </c>
      <c r="O128" s="436">
        <v>0</v>
      </c>
      <c r="P128" s="436"/>
      <c r="Q128" s="449"/>
      <c r="R128" s="449"/>
      <c r="S128" s="439"/>
    </row>
    <row r="129" spans="1:19">
      <c r="A129" s="414"/>
      <c r="B129" s="447" t="s">
        <v>122</v>
      </c>
      <c r="C129" s="436">
        <v>19837</v>
      </c>
      <c r="D129" s="449">
        <v>0</v>
      </c>
      <c r="E129" s="449">
        <v>13631</v>
      </c>
      <c r="F129" s="449">
        <v>0</v>
      </c>
      <c r="G129" s="449">
        <v>0</v>
      </c>
      <c r="H129" s="449">
        <v>4898</v>
      </c>
      <c r="I129" s="449">
        <v>0</v>
      </c>
      <c r="J129" s="441">
        <v>38366</v>
      </c>
      <c r="K129" s="436">
        <v>0</v>
      </c>
      <c r="L129" s="449">
        <v>0</v>
      </c>
      <c r="M129" s="449">
        <v>0</v>
      </c>
      <c r="N129" s="449">
        <v>0</v>
      </c>
      <c r="O129" s="436">
        <v>0</v>
      </c>
      <c r="P129" s="436">
        <v>0</v>
      </c>
      <c r="Q129" s="449">
        <v>0</v>
      </c>
      <c r="R129" s="449">
        <v>0</v>
      </c>
      <c r="S129" s="439">
        <v>0</v>
      </c>
    </row>
    <row r="130" spans="1:19">
      <c r="A130" s="414"/>
      <c r="B130" s="447" t="s">
        <v>124</v>
      </c>
      <c r="C130" s="436">
        <v>636145</v>
      </c>
      <c r="D130" s="449"/>
      <c r="E130" s="449">
        <v>252632</v>
      </c>
      <c r="F130" s="449"/>
      <c r="G130" s="449"/>
      <c r="H130" s="449">
        <v>559078</v>
      </c>
      <c r="I130" s="449"/>
      <c r="J130" s="442">
        <v>1447855</v>
      </c>
      <c r="K130" s="436">
        <v>84169</v>
      </c>
      <c r="L130" s="449"/>
      <c r="M130" s="449">
        <v>56236</v>
      </c>
      <c r="N130" s="449">
        <v>33268</v>
      </c>
      <c r="O130" s="442">
        <v>173673</v>
      </c>
      <c r="P130" s="436"/>
      <c r="Q130" s="449"/>
      <c r="R130" s="449"/>
      <c r="S130" s="439"/>
    </row>
    <row r="131" spans="1:19">
      <c r="A131" s="414"/>
      <c r="B131" s="447" t="s">
        <v>125</v>
      </c>
      <c r="C131" s="436">
        <v>31542</v>
      </c>
      <c r="D131" s="449">
        <v>0</v>
      </c>
      <c r="E131" s="449">
        <v>29896</v>
      </c>
      <c r="F131" s="449">
        <v>0</v>
      </c>
      <c r="G131" s="449">
        <v>0</v>
      </c>
      <c r="H131" s="449">
        <v>34852</v>
      </c>
      <c r="I131" s="449">
        <v>0</v>
      </c>
      <c r="J131" s="443">
        <v>96290</v>
      </c>
      <c r="K131" s="436">
        <v>17432</v>
      </c>
      <c r="L131" s="449">
        <v>0</v>
      </c>
      <c r="M131" s="449">
        <v>5336</v>
      </c>
      <c r="N131" s="449">
        <v>4925</v>
      </c>
      <c r="O131" s="443">
        <v>27693</v>
      </c>
      <c r="P131" s="436">
        <v>0</v>
      </c>
      <c r="Q131" s="449">
        <v>0</v>
      </c>
      <c r="R131" s="449">
        <v>0</v>
      </c>
      <c r="S131" s="439">
        <v>0</v>
      </c>
    </row>
    <row r="132" spans="1:19">
      <c r="A132" s="414"/>
      <c r="B132" s="447" t="s">
        <v>128</v>
      </c>
      <c r="C132" s="436">
        <v>111195</v>
      </c>
      <c r="D132" s="449"/>
      <c r="E132" s="449">
        <v>56858</v>
      </c>
      <c r="F132" s="449"/>
      <c r="G132" s="449"/>
      <c r="H132" s="449">
        <v>10902</v>
      </c>
      <c r="I132" s="449"/>
      <c r="J132" s="444">
        <v>178955</v>
      </c>
      <c r="K132" s="436">
        <v>0</v>
      </c>
      <c r="L132" s="449"/>
      <c r="M132" s="449">
        <v>0</v>
      </c>
      <c r="N132" s="449">
        <v>0</v>
      </c>
      <c r="O132" s="436">
        <v>0</v>
      </c>
      <c r="P132" s="436"/>
      <c r="Q132" s="449"/>
      <c r="R132" s="449"/>
      <c r="S132" s="439"/>
    </row>
    <row r="133" spans="1:19">
      <c r="A133" s="417"/>
      <c r="B133" s="453" t="s">
        <v>126</v>
      </c>
      <c r="C133" s="450">
        <v>23396</v>
      </c>
      <c r="D133" s="451">
        <v>0</v>
      </c>
      <c r="E133" s="451">
        <v>13454</v>
      </c>
      <c r="F133" s="451">
        <v>0</v>
      </c>
      <c r="G133" s="451">
        <v>0</v>
      </c>
      <c r="H133" s="451">
        <v>5711</v>
      </c>
      <c r="I133" s="451">
        <v>0</v>
      </c>
      <c r="J133" s="450">
        <v>42561</v>
      </c>
      <c r="K133" s="450">
        <v>0</v>
      </c>
      <c r="L133" s="451">
        <v>0</v>
      </c>
      <c r="M133" s="451">
        <v>0</v>
      </c>
      <c r="N133" s="451">
        <v>0</v>
      </c>
      <c r="O133" s="450">
        <v>0</v>
      </c>
      <c r="P133" s="450">
        <v>0</v>
      </c>
      <c r="Q133" s="451">
        <v>0</v>
      </c>
      <c r="R133" s="451">
        <v>0</v>
      </c>
      <c r="S133" s="452">
        <v>0</v>
      </c>
    </row>
    <row r="134" spans="1:19">
      <c r="A134"/>
      <c r="B134"/>
      <c r="C134"/>
      <c r="D134"/>
      <c r="E134"/>
      <c r="F134"/>
      <c r="G134"/>
      <c r="H134"/>
      <c r="I134"/>
      <c r="J134"/>
      <c r="K134"/>
      <c r="L134"/>
      <c r="M134"/>
      <c r="N134"/>
      <c r="O134"/>
      <c r="P134"/>
      <c r="Q134"/>
      <c r="R134"/>
      <c r="S134"/>
    </row>
    <row r="135" spans="1:19">
      <c r="A135"/>
      <c r="B135"/>
      <c r="C135"/>
      <c r="D135"/>
      <c r="E135"/>
      <c r="F135"/>
      <c r="G135"/>
      <c r="H135"/>
      <c r="I135"/>
      <c r="J135"/>
      <c r="K135"/>
      <c r="L135"/>
      <c r="M135"/>
      <c r="N135"/>
      <c r="O135"/>
      <c r="P135"/>
      <c r="Q135"/>
      <c r="R135"/>
      <c r="S135"/>
    </row>
    <row r="136" spans="1:19">
      <c r="A136"/>
      <c r="B136"/>
      <c r="C136"/>
      <c r="D136"/>
      <c r="E136"/>
      <c r="F136"/>
      <c r="G136"/>
      <c r="H136"/>
      <c r="I136"/>
      <c r="J136"/>
      <c r="K136"/>
      <c r="L136"/>
      <c r="M136"/>
      <c r="N136"/>
      <c r="O136"/>
      <c r="P136"/>
      <c r="Q136"/>
      <c r="R136"/>
      <c r="S136"/>
    </row>
    <row r="137" spans="1:19">
      <c r="A137"/>
      <c r="B137"/>
      <c r="C137"/>
      <c r="D137"/>
      <c r="E137"/>
      <c r="F137"/>
      <c r="G137"/>
      <c r="H137"/>
      <c r="I137"/>
      <c r="J137"/>
      <c r="K137"/>
      <c r="L137"/>
      <c r="M137"/>
      <c r="N137"/>
      <c r="O137"/>
      <c r="P137"/>
      <c r="Q137"/>
      <c r="R137"/>
      <c r="S137"/>
    </row>
    <row r="138" spans="1:19">
      <c r="A138"/>
      <c r="B138"/>
      <c r="C138"/>
      <c r="D138"/>
      <c r="E138"/>
      <c r="F138"/>
      <c r="G138"/>
      <c r="H138"/>
      <c r="I138"/>
      <c r="J138"/>
      <c r="K138"/>
      <c r="L138"/>
      <c r="M138"/>
      <c r="N138"/>
      <c r="O138"/>
      <c r="P138"/>
      <c r="Q138"/>
      <c r="R138"/>
      <c r="S138"/>
    </row>
    <row r="139" spans="1:19">
      <c r="A139"/>
      <c r="B139"/>
      <c r="C139"/>
      <c r="D139"/>
      <c r="E139"/>
      <c r="F139"/>
      <c r="G139"/>
      <c r="H139"/>
      <c r="I139"/>
      <c r="J139"/>
      <c r="K139"/>
      <c r="L139"/>
      <c r="M139"/>
      <c r="N139"/>
      <c r="O139"/>
      <c r="P139"/>
      <c r="Q139"/>
      <c r="R139"/>
      <c r="S139"/>
    </row>
    <row r="140" spans="1:19">
      <c r="A140"/>
      <c r="B140"/>
      <c r="C140"/>
      <c r="D140"/>
      <c r="E140"/>
      <c r="F140"/>
      <c r="G140"/>
      <c r="H140"/>
      <c r="I140"/>
      <c r="J140"/>
      <c r="K140"/>
      <c r="L140"/>
      <c r="M140"/>
      <c r="N140"/>
      <c r="O140"/>
      <c r="P140"/>
      <c r="Q140"/>
      <c r="R140"/>
      <c r="S140"/>
    </row>
    <row r="141" spans="1:19">
      <c r="A141"/>
      <c r="B141"/>
      <c r="C141"/>
      <c r="D141"/>
      <c r="E141"/>
      <c r="F141"/>
      <c r="G141"/>
      <c r="H141"/>
      <c r="I141"/>
      <c r="J141"/>
      <c r="K141"/>
      <c r="L141"/>
      <c r="M141"/>
      <c r="N141"/>
      <c r="O141"/>
      <c r="P141"/>
      <c r="Q141"/>
      <c r="R141"/>
      <c r="S141"/>
    </row>
    <row r="142" spans="1:19">
      <c r="A142"/>
      <c r="B142"/>
      <c r="C142"/>
      <c r="D142"/>
      <c r="E142"/>
      <c r="F142"/>
      <c r="G142"/>
      <c r="H142"/>
      <c r="I142"/>
      <c r="J142"/>
      <c r="K142"/>
      <c r="L142"/>
      <c r="M142"/>
      <c r="N142"/>
      <c r="O142"/>
      <c r="P142"/>
      <c r="Q142"/>
      <c r="R142"/>
      <c r="S142"/>
    </row>
    <row r="143" spans="1:19">
      <c r="A143"/>
      <c r="B143"/>
      <c r="C143"/>
      <c r="D143"/>
      <c r="E143"/>
      <c r="F143"/>
      <c r="G143"/>
      <c r="H143"/>
      <c r="I143"/>
      <c r="J143"/>
      <c r="K143"/>
      <c r="L143"/>
      <c r="M143"/>
      <c r="N143"/>
      <c r="O143"/>
      <c r="P143"/>
      <c r="Q143"/>
      <c r="R143"/>
      <c r="S143"/>
    </row>
    <row r="144" spans="1:19">
      <c r="A144"/>
      <c r="B144"/>
      <c r="C144"/>
      <c r="D144"/>
      <c r="E144"/>
      <c r="F144"/>
      <c r="G144"/>
      <c r="H144"/>
      <c r="I144"/>
      <c r="J144"/>
      <c r="K144"/>
      <c r="L144"/>
      <c r="M144"/>
      <c r="N144"/>
      <c r="O144"/>
      <c r="P144"/>
      <c r="Q144"/>
      <c r="R144"/>
      <c r="S144"/>
    </row>
    <row r="145" spans="1:19">
      <c r="A145"/>
      <c r="B145"/>
      <c r="C145"/>
      <c r="D145"/>
      <c r="E145"/>
      <c r="F145"/>
      <c r="G145"/>
      <c r="H145"/>
      <c r="I145"/>
      <c r="J145"/>
      <c r="K145"/>
      <c r="L145"/>
      <c r="M145"/>
      <c r="N145"/>
      <c r="O145"/>
      <c r="P145"/>
      <c r="Q145"/>
      <c r="R145"/>
      <c r="S145"/>
    </row>
    <row r="146" spans="1:19">
      <c r="A146"/>
      <c r="B146"/>
      <c r="C146"/>
      <c r="D146"/>
      <c r="E146"/>
      <c r="F146"/>
      <c r="G146"/>
      <c r="H146"/>
      <c r="I146"/>
      <c r="J146"/>
      <c r="K146"/>
      <c r="L146"/>
      <c r="M146"/>
      <c r="N146"/>
      <c r="O146"/>
      <c r="P146"/>
      <c r="Q146"/>
      <c r="R146"/>
      <c r="S146"/>
    </row>
    <row r="147" spans="1:19">
      <c r="A147"/>
      <c r="B147"/>
      <c r="C147"/>
      <c r="D147"/>
      <c r="E147"/>
      <c r="F147"/>
      <c r="G147"/>
      <c r="H147"/>
      <c r="I147"/>
      <c r="J147"/>
      <c r="K147"/>
      <c r="L147"/>
      <c r="M147"/>
      <c r="N147"/>
      <c r="O147"/>
      <c r="P147"/>
      <c r="Q147"/>
      <c r="R147"/>
      <c r="S147"/>
    </row>
    <row r="148" spans="1:19">
      <c r="A148"/>
      <c r="B148"/>
      <c r="C148"/>
      <c r="D148"/>
      <c r="E148"/>
      <c r="F148"/>
      <c r="G148"/>
      <c r="H148"/>
      <c r="I148"/>
      <c r="J148"/>
      <c r="K148"/>
      <c r="L148"/>
      <c r="M148"/>
      <c r="N148"/>
      <c r="O148"/>
      <c r="P148"/>
      <c r="Q148"/>
      <c r="R148"/>
      <c r="S148"/>
    </row>
    <row r="149" spans="1:19">
      <c r="A149"/>
      <c r="B149"/>
      <c r="C149"/>
      <c r="D149"/>
      <c r="E149"/>
      <c r="F149"/>
      <c r="G149"/>
      <c r="H149"/>
      <c r="I149"/>
      <c r="J149"/>
      <c r="K149"/>
      <c r="L149"/>
      <c r="M149"/>
      <c r="N149"/>
      <c r="O149"/>
      <c r="P149"/>
      <c r="Q149"/>
      <c r="R149"/>
      <c r="S149"/>
    </row>
    <row r="150" spans="1:19">
      <c r="A150"/>
      <c r="B150"/>
      <c r="C150"/>
      <c r="D150"/>
      <c r="E150"/>
      <c r="F150"/>
      <c r="G150"/>
      <c r="H150"/>
      <c r="I150"/>
      <c r="J150"/>
      <c r="K150"/>
      <c r="L150"/>
      <c r="M150"/>
      <c r="N150"/>
      <c r="O150"/>
      <c r="P150"/>
      <c r="Q150"/>
      <c r="R150"/>
      <c r="S150"/>
    </row>
    <row r="151" spans="1:19">
      <c r="A151"/>
      <c r="B151"/>
      <c r="C151"/>
      <c r="D151"/>
      <c r="E151"/>
      <c r="F151"/>
      <c r="G151"/>
      <c r="H151"/>
      <c r="I151"/>
      <c r="J151"/>
      <c r="K151"/>
      <c r="L151"/>
      <c r="M151"/>
      <c r="N151"/>
      <c r="O151"/>
      <c r="P151"/>
      <c r="Q151"/>
      <c r="R151"/>
      <c r="S151"/>
    </row>
    <row r="152" spans="1:19">
      <c r="A152"/>
      <c r="B152"/>
      <c r="C152"/>
      <c r="D152"/>
      <c r="E152"/>
      <c r="F152"/>
      <c r="G152"/>
      <c r="H152"/>
      <c r="I152"/>
      <c r="J152"/>
      <c r="K152"/>
      <c r="L152"/>
      <c r="M152"/>
      <c r="N152"/>
      <c r="O152"/>
      <c r="P152"/>
      <c r="Q152"/>
      <c r="R152"/>
      <c r="S152"/>
    </row>
    <row r="153" spans="1:19">
      <c r="A153"/>
      <c r="B153"/>
      <c r="C153"/>
      <c r="D153"/>
      <c r="E153"/>
      <c r="F153"/>
      <c r="G153"/>
      <c r="H153"/>
      <c r="I153"/>
      <c r="J153"/>
      <c r="K153"/>
      <c r="L153"/>
      <c r="M153"/>
      <c r="N153"/>
      <c r="O153"/>
      <c r="P153"/>
      <c r="Q153"/>
      <c r="R153"/>
      <c r="S153"/>
    </row>
    <row r="154" spans="1:19">
      <c r="A154"/>
      <c r="B154"/>
      <c r="C154"/>
      <c r="D154"/>
      <c r="E154"/>
      <c r="F154"/>
      <c r="G154"/>
      <c r="H154"/>
      <c r="I154"/>
      <c r="J154"/>
      <c r="K154"/>
      <c r="L154"/>
      <c r="M154"/>
      <c r="N154"/>
      <c r="O154"/>
      <c r="P154"/>
      <c r="Q154"/>
      <c r="R154"/>
      <c r="S154"/>
    </row>
    <row r="155" spans="1:19">
      <c r="A155"/>
      <c r="B155"/>
      <c r="C155"/>
      <c r="D155"/>
      <c r="E155"/>
      <c r="F155"/>
      <c r="G155"/>
      <c r="H155"/>
      <c r="I155"/>
      <c r="J155"/>
      <c r="K155"/>
      <c r="L155"/>
      <c r="M155"/>
      <c r="N155"/>
      <c r="O155"/>
      <c r="P155"/>
      <c r="Q155"/>
      <c r="R155"/>
      <c r="S155"/>
    </row>
    <row r="156" spans="1:19">
      <c r="A156"/>
      <c r="B156"/>
      <c r="C156"/>
      <c r="D156"/>
      <c r="E156"/>
      <c r="F156"/>
      <c r="G156"/>
      <c r="H156"/>
      <c r="I156"/>
      <c r="J156"/>
      <c r="K156"/>
      <c r="L156"/>
      <c r="M156"/>
      <c r="N156"/>
      <c r="O156"/>
      <c r="P156"/>
      <c r="Q156"/>
      <c r="R156"/>
      <c r="S156"/>
    </row>
    <row r="157" spans="1:19">
      <c r="A157"/>
      <c r="B157"/>
      <c r="C157"/>
      <c r="D157"/>
      <c r="E157"/>
      <c r="F157"/>
      <c r="G157"/>
      <c r="H157"/>
      <c r="I157"/>
      <c r="J157"/>
      <c r="K157"/>
      <c r="L157"/>
      <c r="M157"/>
      <c r="N157"/>
      <c r="O157"/>
      <c r="P157"/>
      <c r="Q157"/>
      <c r="R157"/>
      <c r="S157"/>
    </row>
    <row r="158" spans="1:19">
      <c r="A158"/>
      <c r="B158"/>
      <c r="C158"/>
      <c r="D158"/>
      <c r="E158"/>
      <c r="F158"/>
      <c r="G158"/>
      <c r="H158"/>
      <c r="I158"/>
      <c r="J158"/>
      <c r="K158"/>
      <c r="L158"/>
      <c r="M158"/>
      <c r="N158"/>
      <c r="O158"/>
      <c r="P158"/>
      <c r="Q158"/>
      <c r="R158"/>
      <c r="S158"/>
    </row>
    <row r="159" spans="1:19">
      <c r="A159"/>
      <c r="B159"/>
      <c r="C159"/>
      <c r="D159"/>
      <c r="E159"/>
      <c r="F159"/>
      <c r="G159"/>
      <c r="H159"/>
      <c r="I159"/>
      <c r="J159"/>
      <c r="K159"/>
      <c r="L159"/>
      <c r="M159"/>
      <c r="N159"/>
      <c r="O159"/>
      <c r="P159"/>
      <c r="Q159"/>
      <c r="R159"/>
      <c r="S159"/>
    </row>
    <row r="160" spans="1:19">
      <c r="A160"/>
      <c r="B160"/>
      <c r="C160"/>
      <c r="D160"/>
      <c r="E160"/>
      <c r="F160"/>
      <c r="G160"/>
      <c r="H160"/>
      <c r="I160"/>
      <c r="J160"/>
      <c r="K160"/>
      <c r="L160"/>
      <c r="M160"/>
      <c r="N160"/>
      <c r="O160"/>
      <c r="P160"/>
      <c r="Q160"/>
      <c r="R160"/>
      <c r="S160"/>
    </row>
    <row r="161" spans="1:19">
      <c r="A161"/>
      <c r="B161"/>
      <c r="C161"/>
      <c r="D161"/>
      <c r="E161"/>
      <c r="F161"/>
      <c r="G161"/>
      <c r="H161"/>
      <c r="I161"/>
      <c r="J161"/>
      <c r="K161"/>
      <c r="L161"/>
      <c r="M161"/>
      <c r="N161"/>
      <c r="O161"/>
      <c r="P161"/>
      <c r="Q161"/>
      <c r="R161"/>
      <c r="S161"/>
    </row>
    <row r="162" spans="1:19">
      <c r="A162"/>
      <c r="B162"/>
      <c r="C162"/>
      <c r="D162"/>
      <c r="E162"/>
      <c r="F162"/>
      <c r="G162"/>
      <c r="H162"/>
      <c r="I162"/>
      <c r="J162"/>
      <c r="K162"/>
      <c r="L162"/>
      <c r="M162"/>
      <c r="N162"/>
      <c r="O162"/>
      <c r="P162"/>
      <c r="Q162"/>
      <c r="R162"/>
      <c r="S162"/>
    </row>
    <row r="163" spans="1:19">
      <c r="A163"/>
      <c r="B163"/>
      <c r="C163"/>
      <c r="D163"/>
      <c r="E163"/>
      <c r="F163"/>
      <c r="G163"/>
      <c r="H163"/>
      <c r="I163"/>
      <c r="J163"/>
      <c r="K163"/>
      <c r="L163"/>
      <c r="M163"/>
      <c r="N163"/>
      <c r="O163"/>
      <c r="P163"/>
      <c r="Q163"/>
      <c r="R163"/>
      <c r="S163"/>
    </row>
    <row r="164" spans="1:19">
      <c r="A164"/>
      <c r="B164"/>
      <c r="C164"/>
      <c r="D164"/>
      <c r="E164"/>
      <c r="F164"/>
      <c r="G164"/>
      <c r="H164"/>
      <c r="I164"/>
      <c r="J164"/>
      <c r="K164"/>
      <c r="L164"/>
      <c r="M164"/>
      <c r="N164"/>
      <c r="O164"/>
      <c r="P164"/>
      <c r="Q164"/>
      <c r="R164"/>
      <c r="S164"/>
    </row>
    <row r="165" spans="1:19">
      <c r="A165"/>
      <c r="B165"/>
      <c r="C165"/>
      <c r="D165"/>
      <c r="E165"/>
      <c r="F165"/>
      <c r="G165"/>
      <c r="H165"/>
      <c r="I165"/>
      <c r="J165"/>
      <c r="K165"/>
      <c r="L165"/>
      <c r="M165"/>
      <c r="N165"/>
      <c r="O165"/>
      <c r="P165"/>
      <c r="Q165"/>
      <c r="R165"/>
      <c r="S165"/>
    </row>
    <row r="166" spans="1:19">
      <c r="A166"/>
      <c r="B166"/>
      <c r="C166"/>
      <c r="D166"/>
      <c r="E166"/>
      <c r="F166"/>
      <c r="G166"/>
      <c r="H166"/>
      <c r="I166"/>
      <c r="J166"/>
      <c r="K166"/>
      <c r="L166"/>
      <c r="M166"/>
      <c r="N166"/>
      <c r="O166"/>
      <c r="P166"/>
      <c r="Q166"/>
      <c r="R166"/>
      <c r="S166"/>
    </row>
    <row r="167" spans="1:19">
      <c r="A167"/>
      <c r="B167"/>
      <c r="C167"/>
      <c r="D167"/>
      <c r="E167"/>
      <c r="F167"/>
      <c r="G167"/>
      <c r="H167"/>
      <c r="I167"/>
      <c r="J167"/>
      <c r="K167"/>
      <c r="L167"/>
      <c r="M167"/>
      <c r="N167"/>
      <c r="O167"/>
      <c r="P167"/>
      <c r="Q167"/>
      <c r="R167"/>
      <c r="S167"/>
    </row>
    <row r="168" spans="1:19">
      <c r="A168"/>
      <c r="B168"/>
      <c r="C168"/>
      <c r="D168"/>
      <c r="E168"/>
      <c r="F168"/>
      <c r="G168"/>
      <c r="H168"/>
      <c r="I168"/>
      <c r="J168"/>
      <c r="K168"/>
      <c r="L168"/>
      <c r="M168"/>
      <c r="N168"/>
      <c r="O168"/>
      <c r="P168"/>
      <c r="Q168"/>
      <c r="R168"/>
      <c r="S168"/>
    </row>
    <row r="169" spans="1:19">
      <c r="A169"/>
      <c r="B169"/>
      <c r="C169"/>
      <c r="D169"/>
      <c r="E169"/>
      <c r="F169"/>
      <c r="G169"/>
      <c r="H169"/>
      <c r="I169"/>
      <c r="J169"/>
      <c r="K169"/>
      <c r="L169"/>
      <c r="M169"/>
      <c r="N169"/>
      <c r="O169"/>
      <c r="P169"/>
      <c r="Q169"/>
      <c r="R169"/>
      <c r="S169"/>
    </row>
    <row r="170" spans="1:19">
      <c r="A170"/>
      <c r="B170"/>
      <c r="C170"/>
      <c r="D170"/>
      <c r="E170"/>
      <c r="F170"/>
      <c r="G170"/>
      <c r="H170"/>
      <c r="I170"/>
      <c r="J170"/>
      <c r="K170"/>
      <c r="L170"/>
      <c r="M170"/>
      <c r="N170"/>
      <c r="O170"/>
      <c r="P170"/>
      <c r="Q170"/>
      <c r="R170"/>
      <c r="S170"/>
    </row>
    <row r="171" spans="1:19">
      <c r="A171"/>
      <c r="B171"/>
      <c r="C171"/>
      <c r="D171"/>
      <c r="E171"/>
      <c r="F171"/>
      <c r="G171"/>
      <c r="H171"/>
      <c r="I171"/>
      <c r="J171"/>
      <c r="K171"/>
      <c r="L171"/>
      <c r="M171"/>
      <c r="N171"/>
      <c r="O171"/>
      <c r="P171"/>
      <c r="Q171"/>
      <c r="R171"/>
      <c r="S171"/>
    </row>
    <row r="172" spans="1:19">
      <c r="A172"/>
      <c r="B172"/>
      <c r="C172"/>
      <c r="D172"/>
      <c r="E172"/>
      <c r="F172"/>
      <c r="G172"/>
      <c r="H172"/>
      <c r="I172"/>
      <c r="J172"/>
      <c r="K172"/>
      <c r="L172"/>
      <c r="M172"/>
      <c r="N172"/>
      <c r="O172"/>
      <c r="P172"/>
      <c r="Q172"/>
      <c r="R172"/>
      <c r="S172"/>
    </row>
    <row r="173" spans="1:19">
      <c r="A173"/>
      <c r="B173"/>
      <c r="C173"/>
      <c r="D173"/>
      <c r="E173"/>
      <c r="F173"/>
      <c r="G173"/>
      <c r="H173"/>
      <c r="I173"/>
      <c r="J173"/>
      <c r="K173"/>
      <c r="L173"/>
      <c r="M173"/>
      <c r="N173"/>
      <c r="O173"/>
      <c r="P173"/>
      <c r="Q173"/>
      <c r="R173"/>
      <c r="S173"/>
    </row>
    <row r="174" spans="1:19">
      <c r="A174"/>
      <c r="B174"/>
      <c r="C174"/>
      <c r="D174"/>
      <c r="E174"/>
      <c r="F174"/>
      <c r="G174"/>
      <c r="H174"/>
      <c r="I174"/>
      <c r="J174"/>
      <c r="K174"/>
      <c r="L174"/>
      <c r="M174"/>
      <c r="N174"/>
      <c r="O174"/>
      <c r="P174"/>
      <c r="Q174"/>
      <c r="R174"/>
      <c r="S174"/>
    </row>
    <row r="175" spans="1:19">
      <c r="A175"/>
      <c r="B175"/>
      <c r="C175"/>
      <c r="D175"/>
      <c r="E175"/>
      <c r="F175"/>
      <c r="G175"/>
      <c r="H175"/>
      <c r="I175"/>
      <c r="J175"/>
      <c r="K175"/>
      <c r="L175"/>
      <c r="M175"/>
      <c r="N175"/>
      <c r="O175"/>
      <c r="P175"/>
      <c r="Q175"/>
      <c r="R175"/>
      <c r="S175"/>
    </row>
    <row r="176" spans="1:19">
      <c r="A176"/>
      <c r="B176"/>
      <c r="C176"/>
      <c r="D176"/>
      <c r="E176"/>
      <c r="F176"/>
      <c r="G176"/>
      <c r="H176"/>
      <c r="I176"/>
      <c r="J176"/>
      <c r="K176"/>
      <c r="L176"/>
      <c r="M176"/>
      <c r="N176"/>
      <c r="O176"/>
      <c r="P176"/>
      <c r="Q176"/>
      <c r="R176"/>
      <c r="S176"/>
    </row>
    <row r="177" spans="1:19">
      <c r="A177"/>
      <c r="B177"/>
      <c r="C177"/>
      <c r="D177"/>
      <c r="E177"/>
      <c r="F177"/>
      <c r="G177"/>
      <c r="H177"/>
      <c r="I177"/>
      <c r="J177"/>
      <c r="K177"/>
      <c r="L177"/>
      <c r="M177"/>
      <c r="N177"/>
      <c r="O177"/>
      <c r="P177"/>
      <c r="Q177"/>
      <c r="R177"/>
      <c r="S177"/>
    </row>
    <row r="178" spans="1:19">
      <c r="A178"/>
      <c r="B178"/>
      <c r="C178"/>
      <c r="D178"/>
      <c r="E178"/>
      <c r="F178"/>
      <c r="G178"/>
      <c r="H178"/>
      <c r="I178"/>
      <c r="J178"/>
      <c r="K178"/>
      <c r="L178"/>
      <c r="M178"/>
      <c r="N178"/>
      <c r="O178"/>
      <c r="P178"/>
      <c r="Q178"/>
      <c r="R178"/>
      <c r="S178"/>
    </row>
    <row r="179" spans="1:19">
      <c r="A179"/>
      <c r="B179"/>
      <c r="C179"/>
      <c r="D179"/>
      <c r="E179"/>
      <c r="F179"/>
      <c r="G179"/>
      <c r="H179"/>
      <c r="I179"/>
      <c r="J179"/>
      <c r="K179"/>
      <c r="L179"/>
      <c r="M179"/>
      <c r="N179"/>
      <c r="O179"/>
      <c r="P179"/>
      <c r="Q179"/>
      <c r="R179"/>
      <c r="S179"/>
    </row>
    <row r="180" spans="1:19">
      <c r="A180"/>
      <c r="B180"/>
      <c r="C180"/>
      <c r="D180"/>
      <c r="E180"/>
      <c r="F180"/>
      <c r="G180"/>
      <c r="H180"/>
      <c r="I180"/>
      <c r="J180"/>
      <c r="K180"/>
      <c r="L180"/>
      <c r="M180"/>
      <c r="N180"/>
      <c r="O180"/>
      <c r="P180"/>
      <c r="Q180"/>
      <c r="R180"/>
      <c r="S180"/>
    </row>
    <row r="181" spans="1:19">
      <c r="A181"/>
      <c r="B181"/>
      <c r="C181"/>
      <c r="D181"/>
      <c r="E181"/>
      <c r="F181"/>
      <c r="G181"/>
      <c r="H181"/>
      <c r="I181"/>
      <c r="J181"/>
      <c r="K181"/>
      <c r="L181"/>
      <c r="M181"/>
      <c r="N181"/>
      <c r="O181"/>
      <c r="P181"/>
      <c r="Q181"/>
      <c r="R181"/>
      <c r="S181"/>
    </row>
    <row r="182" spans="1:19">
      <c r="A182"/>
      <c r="B182"/>
      <c r="C182"/>
      <c r="D182"/>
      <c r="E182"/>
      <c r="F182"/>
      <c r="G182"/>
      <c r="H182"/>
      <c r="I182"/>
      <c r="J182"/>
      <c r="K182"/>
      <c r="L182"/>
      <c r="M182"/>
      <c r="N182"/>
      <c r="O182"/>
      <c r="P182"/>
      <c r="Q182"/>
      <c r="R182"/>
      <c r="S182"/>
    </row>
    <row r="183" spans="1:19">
      <c r="A183"/>
      <c r="B183"/>
      <c r="C183"/>
      <c r="D183"/>
      <c r="E183"/>
      <c r="F183"/>
      <c r="G183"/>
      <c r="H183"/>
      <c r="I183"/>
      <c r="J183"/>
      <c r="K183"/>
      <c r="L183"/>
      <c r="M183"/>
      <c r="N183"/>
      <c r="O183"/>
      <c r="P183"/>
      <c r="Q183"/>
      <c r="R183"/>
      <c r="S183"/>
    </row>
    <row r="184" spans="1:19">
      <c r="A184"/>
      <c r="B184"/>
      <c r="C184"/>
      <c r="D184"/>
      <c r="E184"/>
      <c r="F184"/>
      <c r="G184"/>
      <c r="H184"/>
      <c r="I184"/>
      <c r="J184"/>
      <c r="K184"/>
      <c r="L184"/>
      <c r="M184"/>
      <c r="N184"/>
      <c r="O184"/>
      <c r="P184"/>
      <c r="Q184"/>
      <c r="R184"/>
      <c r="S184"/>
    </row>
    <row r="185" spans="1:19">
      <c r="A185"/>
      <c r="B185"/>
      <c r="C185"/>
      <c r="D185"/>
      <c r="E185"/>
      <c r="F185"/>
      <c r="G185"/>
      <c r="H185"/>
      <c r="I185"/>
      <c r="J185"/>
      <c r="K185"/>
      <c r="L185"/>
      <c r="M185"/>
      <c r="N185"/>
      <c r="O185"/>
      <c r="P185"/>
      <c r="Q185"/>
      <c r="R185"/>
      <c r="S185"/>
    </row>
    <row r="186" spans="1:19">
      <c r="A186"/>
      <c r="B186"/>
      <c r="C186"/>
      <c r="D186"/>
      <c r="E186"/>
      <c r="F186"/>
      <c r="G186"/>
      <c r="H186"/>
      <c r="I186"/>
      <c r="J186"/>
      <c r="K186"/>
      <c r="L186"/>
      <c r="M186"/>
      <c r="N186"/>
      <c r="O186"/>
      <c r="P186"/>
      <c r="Q186"/>
      <c r="R186"/>
      <c r="S186"/>
    </row>
    <row r="187" spans="1:19">
      <c r="A187"/>
      <c r="B187"/>
      <c r="C187"/>
      <c r="D187"/>
      <c r="E187"/>
      <c r="F187"/>
      <c r="G187"/>
      <c r="H187"/>
      <c r="I187"/>
      <c r="J187"/>
      <c r="K187"/>
      <c r="L187"/>
      <c r="M187"/>
      <c r="N187"/>
      <c r="O187"/>
      <c r="P187"/>
      <c r="Q187"/>
      <c r="R187"/>
      <c r="S187"/>
    </row>
    <row r="188" spans="1:19">
      <c r="A188"/>
      <c r="B188"/>
      <c r="C188"/>
      <c r="D188"/>
      <c r="E188"/>
      <c r="F188"/>
      <c r="G188"/>
      <c r="H188"/>
      <c r="I188"/>
      <c r="J188"/>
      <c r="K188"/>
      <c r="L188"/>
      <c r="M188"/>
      <c r="N188"/>
      <c r="O188"/>
      <c r="P188"/>
      <c r="Q188"/>
      <c r="R188"/>
      <c r="S188"/>
    </row>
    <row r="189" spans="1:19">
      <c r="A189"/>
      <c r="B189"/>
      <c r="C189"/>
      <c r="D189"/>
      <c r="E189"/>
      <c r="F189"/>
      <c r="G189"/>
      <c r="H189"/>
      <c r="I189"/>
      <c r="J189"/>
      <c r="K189"/>
      <c r="L189"/>
      <c r="M189"/>
      <c r="N189"/>
      <c r="O189"/>
      <c r="P189"/>
      <c r="Q189"/>
      <c r="R189"/>
      <c r="S189"/>
    </row>
    <row r="190" spans="1:19">
      <c r="A190"/>
      <c r="B190"/>
      <c r="C190"/>
      <c r="D190"/>
      <c r="E190"/>
      <c r="F190"/>
      <c r="G190"/>
      <c r="H190"/>
      <c r="I190"/>
      <c r="J190"/>
      <c r="K190"/>
      <c r="L190"/>
      <c r="M190"/>
      <c r="N190"/>
      <c r="O190"/>
      <c r="P190"/>
      <c r="Q190"/>
      <c r="R190"/>
      <c r="S190"/>
    </row>
    <row r="191" spans="1:19">
      <c r="A191"/>
      <c r="B191"/>
      <c r="C191"/>
      <c r="D191"/>
      <c r="E191"/>
      <c r="F191"/>
      <c r="G191"/>
      <c r="H191"/>
      <c r="I191"/>
      <c r="J191"/>
      <c r="K191"/>
      <c r="L191"/>
      <c r="M191"/>
      <c r="N191"/>
      <c r="O191"/>
      <c r="P191"/>
      <c r="Q191"/>
      <c r="R191"/>
      <c r="S191"/>
    </row>
    <row r="192" spans="1:19">
      <c r="A192"/>
      <c r="B192"/>
      <c r="C192"/>
      <c r="D192"/>
      <c r="E192"/>
      <c r="F192"/>
      <c r="G192"/>
      <c r="H192"/>
      <c r="I192"/>
      <c r="J192"/>
      <c r="K192"/>
      <c r="L192"/>
      <c r="M192"/>
      <c r="N192"/>
      <c r="O192"/>
      <c r="P192"/>
      <c r="Q192"/>
      <c r="R192"/>
      <c r="S192"/>
    </row>
    <row r="193" spans="1:19">
      <c r="A193"/>
      <c r="B193"/>
      <c r="C193"/>
      <c r="D193"/>
      <c r="E193"/>
      <c r="F193"/>
      <c r="G193"/>
      <c r="H193"/>
      <c r="I193"/>
      <c r="J193"/>
      <c r="K193"/>
      <c r="L193"/>
      <c r="M193"/>
      <c r="N193"/>
      <c r="O193"/>
      <c r="P193"/>
      <c r="Q193"/>
      <c r="R193"/>
      <c r="S193"/>
    </row>
    <row r="194" spans="1:19">
      <c r="A194"/>
      <c r="B194"/>
      <c r="C194"/>
      <c r="D194"/>
      <c r="E194"/>
      <c r="F194"/>
      <c r="G194"/>
      <c r="H194"/>
      <c r="I194"/>
      <c r="J194"/>
      <c r="K194"/>
      <c r="L194"/>
      <c r="M194"/>
      <c r="N194"/>
      <c r="O194"/>
      <c r="P194"/>
      <c r="Q194"/>
      <c r="R194"/>
      <c r="S194"/>
    </row>
    <row r="195" spans="1:19">
      <c r="A195"/>
      <c r="B195"/>
      <c r="C195"/>
      <c r="D195"/>
      <c r="E195"/>
      <c r="F195"/>
      <c r="G195"/>
      <c r="H195"/>
      <c r="I195"/>
      <c r="J195"/>
      <c r="K195"/>
      <c r="L195"/>
      <c r="M195"/>
      <c r="N195"/>
      <c r="O195"/>
      <c r="P195"/>
      <c r="Q195"/>
      <c r="R195"/>
      <c r="S195"/>
    </row>
    <row r="196" spans="1:19">
      <c r="A196"/>
      <c r="B196"/>
      <c r="C196"/>
      <c r="D196"/>
      <c r="E196"/>
      <c r="F196"/>
      <c r="G196"/>
      <c r="H196"/>
      <c r="I196"/>
      <c r="J196"/>
      <c r="K196"/>
      <c r="L196"/>
      <c r="M196"/>
      <c r="N196"/>
      <c r="O196"/>
      <c r="P196"/>
      <c r="Q196"/>
      <c r="R196"/>
      <c r="S196"/>
    </row>
    <row r="197" spans="1:19">
      <c r="A197"/>
      <c r="B197"/>
      <c r="C197"/>
      <c r="D197"/>
      <c r="E197"/>
      <c r="F197"/>
      <c r="G197"/>
      <c r="H197"/>
      <c r="I197"/>
      <c r="J197"/>
      <c r="K197"/>
      <c r="L197"/>
      <c r="M197"/>
      <c r="N197"/>
      <c r="O197"/>
      <c r="P197"/>
      <c r="Q197"/>
      <c r="R197"/>
      <c r="S197"/>
    </row>
    <row r="198" spans="1:19">
      <c r="A198"/>
      <c r="B198"/>
      <c r="C198"/>
      <c r="D198"/>
      <c r="E198"/>
      <c r="F198"/>
      <c r="G198"/>
      <c r="H198"/>
      <c r="I198"/>
      <c r="J198"/>
      <c r="K198"/>
      <c r="L198"/>
      <c r="M198"/>
      <c r="N198"/>
      <c r="O198"/>
      <c r="P198"/>
      <c r="Q198"/>
      <c r="R198"/>
      <c r="S198"/>
    </row>
    <row r="199" spans="1:19">
      <c r="A199"/>
      <c r="B199"/>
      <c r="C199"/>
      <c r="D199"/>
      <c r="E199"/>
      <c r="F199"/>
      <c r="G199"/>
      <c r="H199"/>
      <c r="I199"/>
      <c r="J199"/>
      <c r="K199"/>
      <c r="L199"/>
      <c r="M199"/>
      <c r="N199"/>
      <c r="O199"/>
      <c r="P199"/>
      <c r="Q199"/>
      <c r="R199"/>
      <c r="S199"/>
    </row>
    <row r="200" spans="1:19">
      <c r="A200"/>
      <c r="B200"/>
      <c r="C200"/>
      <c r="D200"/>
      <c r="E200"/>
      <c r="F200"/>
      <c r="G200"/>
      <c r="H200"/>
      <c r="I200"/>
      <c r="J200"/>
      <c r="K200"/>
      <c r="L200"/>
      <c r="M200"/>
      <c r="N200"/>
      <c r="O200"/>
      <c r="P200"/>
      <c r="Q200"/>
      <c r="R200"/>
      <c r="S200"/>
    </row>
    <row r="201" spans="1:19">
      <c r="A201"/>
      <c r="B201"/>
      <c r="C201"/>
      <c r="D201"/>
      <c r="E201"/>
      <c r="F201"/>
      <c r="G201"/>
      <c r="H201"/>
      <c r="I201"/>
      <c r="J201"/>
      <c r="K201"/>
      <c r="L201"/>
      <c r="M201"/>
      <c r="N201"/>
      <c r="O201"/>
      <c r="P201"/>
      <c r="Q201"/>
      <c r="R201"/>
      <c r="S201"/>
    </row>
    <row r="202" spans="1:19">
      <c r="A202"/>
      <c r="B202"/>
      <c r="C202"/>
      <c r="D202"/>
      <c r="E202"/>
      <c r="F202"/>
      <c r="G202"/>
      <c r="H202"/>
      <c r="I202"/>
      <c r="J202"/>
      <c r="K202"/>
      <c r="L202"/>
      <c r="M202"/>
      <c r="N202"/>
      <c r="O202"/>
      <c r="P202"/>
      <c r="Q202"/>
      <c r="R202"/>
      <c r="S202"/>
    </row>
    <row r="203" spans="1:19">
      <c r="A203"/>
      <c r="B203"/>
      <c r="C203"/>
      <c r="D203"/>
      <c r="E203"/>
      <c r="F203"/>
      <c r="G203"/>
      <c r="H203"/>
      <c r="I203"/>
      <c r="J203"/>
      <c r="K203"/>
      <c r="L203"/>
      <c r="M203"/>
      <c r="N203"/>
      <c r="O203"/>
      <c r="P203"/>
      <c r="Q203"/>
      <c r="R203"/>
      <c r="S203"/>
    </row>
    <row r="204" spans="1:19">
      <c r="A204"/>
      <c r="B204"/>
      <c r="C204"/>
      <c r="D204"/>
      <c r="E204"/>
      <c r="F204"/>
      <c r="G204"/>
      <c r="H204"/>
      <c r="I204"/>
      <c r="J204"/>
      <c r="K204"/>
      <c r="L204"/>
      <c r="M204"/>
      <c r="N204"/>
      <c r="O204"/>
      <c r="P204"/>
      <c r="Q204"/>
      <c r="R204"/>
      <c r="S204"/>
    </row>
    <row r="205" spans="1:19">
      <c r="A205"/>
      <c r="B205"/>
      <c r="C205"/>
      <c r="D205"/>
      <c r="E205"/>
      <c r="F205"/>
      <c r="G205"/>
      <c r="H205"/>
      <c r="I205"/>
      <c r="J205"/>
      <c r="K205"/>
      <c r="L205"/>
      <c r="M205"/>
      <c r="N205"/>
      <c r="O205"/>
      <c r="P205"/>
      <c r="Q205"/>
      <c r="R205"/>
      <c r="S205"/>
    </row>
    <row r="206" spans="1:19">
      <c r="A206"/>
      <c r="B206"/>
      <c r="C206"/>
      <c r="D206"/>
      <c r="E206"/>
      <c r="F206"/>
      <c r="G206"/>
      <c r="H206"/>
      <c r="I206"/>
      <c r="J206"/>
      <c r="K206"/>
      <c r="L206"/>
      <c r="M206"/>
      <c r="N206"/>
      <c r="O206"/>
      <c r="P206"/>
      <c r="Q206"/>
      <c r="R206"/>
      <c r="S206"/>
    </row>
    <row r="207" spans="1:19">
      <c r="A207"/>
      <c r="B207"/>
      <c r="C207"/>
      <c r="D207"/>
      <c r="E207"/>
      <c r="F207"/>
      <c r="G207"/>
      <c r="H207"/>
      <c r="I207"/>
      <c r="J207"/>
      <c r="K207"/>
      <c r="L207"/>
      <c r="M207"/>
      <c r="N207"/>
      <c r="O207"/>
      <c r="P207"/>
      <c r="Q207"/>
      <c r="R207"/>
      <c r="S207"/>
    </row>
    <row r="208" spans="1:19">
      <c r="A208"/>
      <c r="B208"/>
      <c r="C208"/>
      <c r="D208"/>
      <c r="E208"/>
      <c r="F208"/>
      <c r="G208"/>
      <c r="H208"/>
      <c r="I208"/>
      <c r="J208"/>
      <c r="K208"/>
      <c r="L208"/>
      <c r="M208"/>
      <c r="N208"/>
      <c r="O208"/>
      <c r="P208"/>
      <c r="Q208"/>
      <c r="R208"/>
      <c r="S208"/>
    </row>
    <row r="209" spans="1:19">
      <c r="A209"/>
      <c r="B209"/>
      <c r="C209"/>
      <c r="D209"/>
      <c r="E209"/>
      <c r="F209"/>
      <c r="G209"/>
      <c r="H209"/>
      <c r="I209"/>
      <c r="J209"/>
      <c r="K209"/>
      <c r="L209"/>
      <c r="M209"/>
      <c r="N209"/>
      <c r="O209"/>
      <c r="P209"/>
      <c r="Q209"/>
      <c r="R209"/>
      <c r="S209"/>
    </row>
    <row r="210" spans="1:19">
      <c r="A210"/>
      <c r="B210"/>
      <c r="C210"/>
      <c r="D210"/>
      <c r="E210"/>
      <c r="F210"/>
      <c r="G210"/>
      <c r="H210"/>
      <c r="I210"/>
      <c r="J210"/>
      <c r="K210"/>
      <c r="L210"/>
      <c r="M210"/>
      <c r="N210"/>
      <c r="O210"/>
      <c r="P210"/>
      <c r="Q210"/>
      <c r="R210"/>
      <c r="S210"/>
    </row>
    <row r="211" spans="1:19">
      <c r="A211"/>
      <c r="B211"/>
      <c r="C211"/>
      <c r="D211"/>
      <c r="E211"/>
      <c r="F211"/>
      <c r="G211"/>
      <c r="H211"/>
      <c r="I211"/>
      <c r="J211"/>
      <c r="K211"/>
      <c r="L211"/>
      <c r="M211"/>
      <c r="N211"/>
      <c r="O211"/>
      <c r="P211"/>
      <c r="Q211"/>
      <c r="R211"/>
      <c r="S211"/>
    </row>
    <row r="212" spans="1:19">
      <c r="A212"/>
      <c r="B212"/>
      <c r="C212"/>
      <c r="D212"/>
      <c r="E212"/>
      <c r="F212"/>
      <c r="G212"/>
      <c r="H212"/>
      <c r="I212"/>
      <c r="J212"/>
      <c r="K212"/>
      <c r="L212"/>
      <c r="M212"/>
      <c r="N212"/>
      <c r="O212"/>
      <c r="P212"/>
      <c r="Q212"/>
      <c r="R212"/>
      <c r="S212"/>
    </row>
    <row r="213" spans="1:19">
      <c r="A213"/>
      <c r="B213"/>
      <c r="C213"/>
      <c r="D213"/>
      <c r="E213"/>
      <c r="F213"/>
      <c r="G213"/>
      <c r="H213"/>
      <c r="I213"/>
      <c r="J213"/>
      <c r="K213"/>
      <c r="L213"/>
      <c r="M213"/>
      <c r="N213"/>
      <c r="O213"/>
      <c r="P213"/>
      <c r="Q213"/>
      <c r="R213"/>
      <c r="S213"/>
    </row>
    <row r="214" spans="1:19">
      <c r="A214"/>
      <c r="B214"/>
      <c r="C214"/>
      <c r="D214"/>
      <c r="E214"/>
      <c r="F214"/>
      <c r="G214"/>
      <c r="H214"/>
      <c r="I214"/>
      <c r="J214"/>
      <c r="K214"/>
      <c r="L214"/>
      <c r="M214"/>
      <c r="N214"/>
      <c r="O214"/>
      <c r="P214"/>
      <c r="Q214"/>
      <c r="R214"/>
      <c r="S214"/>
    </row>
    <row r="215" spans="1:19">
      <c r="A215"/>
      <c r="B215"/>
      <c r="C215"/>
      <c r="D215"/>
      <c r="E215"/>
      <c r="F215"/>
      <c r="G215"/>
      <c r="H215"/>
      <c r="I215"/>
      <c r="J215"/>
      <c r="K215"/>
      <c r="L215"/>
      <c r="M215"/>
      <c r="N215"/>
      <c r="O215"/>
      <c r="P215"/>
      <c r="Q215"/>
      <c r="R215"/>
      <c r="S215"/>
    </row>
    <row r="216" spans="1:19">
      <c r="A216"/>
      <c r="B216"/>
      <c r="C216"/>
      <c r="D216"/>
      <c r="E216"/>
      <c r="F216"/>
      <c r="G216"/>
      <c r="H216"/>
      <c r="I216"/>
      <c r="J216"/>
      <c r="K216"/>
      <c r="L216"/>
      <c r="M216"/>
      <c r="N216"/>
      <c r="O216"/>
      <c r="P216"/>
      <c r="Q216"/>
      <c r="R216"/>
      <c r="S216"/>
    </row>
    <row r="217" spans="1:19">
      <c r="A217"/>
      <c r="B217"/>
      <c r="C217"/>
      <c r="D217"/>
      <c r="E217"/>
      <c r="F217"/>
      <c r="G217"/>
      <c r="H217"/>
      <c r="I217"/>
      <c r="J217"/>
      <c r="K217"/>
      <c r="L217"/>
      <c r="M217"/>
      <c r="N217"/>
      <c r="O217"/>
      <c r="P217"/>
      <c r="Q217"/>
      <c r="R217"/>
      <c r="S217"/>
    </row>
    <row r="218" spans="1:19">
      <c r="A218"/>
      <c r="B218"/>
      <c r="C218"/>
      <c r="D218"/>
      <c r="E218"/>
      <c r="F218"/>
      <c r="G218"/>
      <c r="H218"/>
      <c r="I218"/>
      <c r="J218"/>
      <c r="K218"/>
      <c r="L218"/>
      <c r="M218"/>
      <c r="N218"/>
      <c r="O218"/>
      <c r="P218"/>
      <c r="Q218"/>
      <c r="R218"/>
      <c r="S218"/>
    </row>
    <row r="219" spans="1:19">
      <c r="A219"/>
      <c r="B219"/>
      <c r="C219"/>
      <c r="D219"/>
      <c r="E219"/>
      <c r="F219"/>
      <c r="G219"/>
      <c r="H219"/>
      <c r="I219"/>
      <c r="J219"/>
      <c r="K219"/>
      <c r="L219"/>
      <c r="M219"/>
      <c r="N219"/>
      <c r="O219"/>
      <c r="P219"/>
      <c r="Q219"/>
      <c r="R219"/>
      <c r="S219"/>
    </row>
    <row r="220" spans="1:19">
      <c r="A220"/>
      <c r="B220"/>
      <c r="C220"/>
      <c r="D220"/>
      <c r="E220"/>
      <c r="F220"/>
      <c r="G220"/>
      <c r="H220"/>
      <c r="I220"/>
      <c r="J220"/>
      <c r="K220"/>
      <c r="L220"/>
      <c r="M220"/>
      <c r="N220"/>
      <c r="O220"/>
      <c r="P220"/>
      <c r="Q220"/>
      <c r="R220"/>
      <c r="S220"/>
    </row>
    <row r="221" spans="1:19">
      <c r="A221"/>
      <c r="B221"/>
      <c r="C221"/>
      <c r="D221"/>
      <c r="E221"/>
      <c r="F221"/>
      <c r="G221"/>
      <c r="H221"/>
      <c r="I221"/>
      <c r="J221"/>
      <c r="K221"/>
      <c r="L221"/>
      <c r="M221"/>
      <c r="N221"/>
      <c r="O221"/>
      <c r="P221"/>
      <c r="Q221"/>
      <c r="R221"/>
      <c r="S221"/>
    </row>
    <row r="222" spans="1:19">
      <c r="A222"/>
      <c r="B222"/>
      <c r="C222"/>
      <c r="D222"/>
      <c r="E222"/>
      <c r="F222"/>
      <c r="G222"/>
      <c r="H222"/>
      <c r="I222"/>
      <c r="J222"/>
      <c r="K222"/>
      <c r="L222"/>
      <c r="M222"/>
      <c r="N222"/>
      <c r="O222"/>
      <c r="P222"/>
      <c r="Q222"/>
      <c r="R222"/>
      <c r="S222"/>
    </row>
    <row r="223" spans="1:19">
      <c r="A223"/>
      <c r="B223"/>
      <c r="C223"/>
      <c r="D223"/>
      <c r="E223"/>
      <c r="F223"/>
      <c r="G223"/>
      <c r="H223"/>
      <c r="I223"/>
      <c r="J223"/>
      <c r="K223"/>
      <c r="L223"/>
      <c r="M223"/>
      <c r="N223"/>
      <c r="O223"/>
      <c r="P223"/>
      <c r="Q223"/>
      <c r="R223"/>
      <c r="S223"/>
    </row>
    <row r="224" spans="1:19">
      <c r="A224"/>
      <c r="B224"/>
      <c r="C224"/>
      <c r="D224"/>
      <c r="E224"/>
      <c r="F224"/>
      <c r="G224"/>
      <c r="H224"/>
      <c r="I224"/>
      <c r="J224"/>
      <c r="K224"/>
      <c r="L224"/>
      <c r="M224"/>
      <c r="N224"/>
      <c r="O224"/>
      <c r="P224"/>
      <c r="Q224"/>
      <c r="R224"/>
      <c r="S224"/>
    </row>
    <row r="225" spans="1:19">
      <c r="A225"/>
      <c r="B225"/>
      <c r="C225"/>
      <c r="D225"/>
      <c r="E225"/>
      <c r="F225"/>
      <c r="G225"/>
      <c r="H225"/>
      <c r="I225"/>
      <c r="J225"/>
      <c r="K225"/>
      <c r="L225"/>
      <c r="M225"/>
      <c r="N225"/>
      <c r="O225"/>
      <c r="P225"/>
      <c r="Q225"/>
      <c r="R225"/>
      <c r="S225"/>
    </row>
    <row r="226" spans="1:19">
      <c r="A226"/>
      <c r="B226"/>
      <c r="C226"/>
      <c r="D226"/>
      <c r="E226"/>
      <c r="F226"/>
      <c r="G226"/>
      <c r="H226"/>
      <c r="I226"/>
      <c r="J226"/>
      <c r="K226"/>
      <c r="L226"/>
      <c r="M226"/>
      <c r="N226"/>
      <c r="O226"/>
      <c r="P226"/>
      <c r="Q226"/>
      <c r="R226"/>
      <c r="S226"/>
    </row>
    <row r="227" spans="1:19">
      <c r="A227"/>
      <c r="B227"/>
      <c r="C227"/>
      <c r="D227"/>
      <c r="E227"/>
      <c r="F227"/>
      <c r="G227"/>
      <c r="H227"/>
      <c r="I227"/>
      <c r="J227"/>
      <c r="K227"/>
      <c r="L227"/>
      <c r="M227"/>
      <c r="N227"/>
      <c r="O227"/>
      <c r="P227"/>
      <c r="Q227"/>
      <c r="R227"/>
      <c r="S227"/>
    </row>
    <row r="228" spans="1:19">
      <c r="A228"/>
      <c r="B228"/>
      <c r="C228"/>
      <c r="D228"/>
      <c r="E228"/>
      <c r="F228"/>
      <c r="G228"/>
      <c r="H228"/>
      <c r="I228"/>
      <c r="J228"/>
      <c r="K228"/>
      <c r="L228"/>
      <c r="M228"/>
      <c r="N228"/>
      <c r="O228"/>
      <c r="P228"/>
      <c r="Q228"/>
      <c r="R228"/>
      <c r="S228"/>
    </row>
    <row r="229" spans="1:19">
      <c r="A229"/>
      <c r="B229"/>
      <c r="C229"/>
      <c r="D229"/>
      <c r="E229"/>
      <c r="F229"/>
      <c r="G229"/>
      <c r="H229"/>
      <c r="I229"/>
      <c r="J229"/>
      <c r="K229"/>
      <c r="L229"/>
      <c r="M229"/>
      <c r="N229"/>
      <c r="O229"/>
      <c r="P229"/>
      <c r="Q229"/>
      <c r="R229"/>
      <c r="S229"/>
    </row>
    <row r="230" spans="1:19">
      <c r="A230"/>
      <c r="B230"/>
      <c r="C230"/>
      <c r="D230"/>
      <c r="E230"/>
      <c r="F230"/>
      <c r="G230"/>
      <c r="H230"/>
      <c r="I230"/>
      <c r="J230"/>
      <c r="K230"/>
      <c r="L230"/>
      <c r="M230"/>
      <c r="N230"/>
      <c r="O230"/>
      <c r="P230"/>
      <c r="Q230"/>
      <c r="R230"/>
      <c r="S230"/>
    </row>
    <row r="231" spans="1:19">
      <c r="A231"/>
      <c r="B231"/>
      <c r="C231"/>
      <c r="D231"/>
      <c r="E231"/>
      <c r="F231"/>
      <c r="G231"/>
      <c r="H231"/>
      <c r="I231"/>
      <c r="J231"/>
      <c r="K231"/>
      <c r="L231"/>
      <c r="M231"/>
      <c r="N231"/>
      <c r="O231"/>
      <c r="P231"/>
      <c r="Q231"/>
      <c r="R231"/>
      <c r="S231"/>
    </row>
    <row r="232" spans="1:19">
      <c r="A232"/>
      <c r="B232"/>
      <c r="C232"/>
      <c r="D232"/>
      <c r="E232"/>
      <c r="F232"/>
      <c r="G232"/>
      <c r="H232"/>
      <c r="I232"/>
      <c r="J232"/>
      <c r="K232"/>
      <c r="L232"/>
      <c r="M232"/>
      <c r="N232"/>
      <c r="O232"/>
      <c r="P232"/>
      <c r="Q232"/>
      <c r="R232"/>
      <c r="S232"/>
    </row>
    <row r="233" spans="1:19">
      <c r="A233"/>
      <c r="B233"/>
      <c r="C233"/>
      <c r="D233"/>
      <c r="E233"/>
      <c r="F233"/>
      <c r="G233"/>
      <c r="H233"/>
      <c r="I233"/>
      <c r="J233"/>
      <c r="K233"/>
      <c r="L233"/>
      <c r="M233"/>
      <c r="N233"/>
      <c r="O233"/>
      <c r="P233"/>
      <c r="Q233"/>
      <c r="R233"/>
      <c r="S233"/>
    </row>
    <row r="234" spans="1:19">
      <c r="A234"/>
      <c r="B234"/>
      <c r="C234"/>
      <c r="D234"/>
      <c r="E234"/>
      <c r="F234"/>
      <c r="G234"/>
      <c r="H234"/>
      <c r="I234"/>
      <c r="J234"/>
      <c r="K234"/>
      <c r="L234"/>
      <c r="M234"/>
      <c r="N234"/>
      <c r="O234"/>
      <c r="P234"/>
      <c r="Q234"/>
      <c r="R234"/>
      <c r="S234"/>
    </row>
    <row r="235" spans="1:19">
      <c r="A235"/>
      <c r="B235"/>
      <c r="C235"/>
      <c r="D235"/>
      <c r="E235"/>
      <c r="F235"/>
      <c r="G235"/>
      <c r="H235"/>
      <c r="I235"/>
      <c r="J235"/>
      <c r="K235"/>
      <c r="L235"/>
      <c r="M235"/>
      <c r="N235"/>
      <c r="O235"/>
      <c r="P235"/>
      <c r="Q235"/>
      <c r="R235"/>
      <c r="S235"/>
    </row>
    <row r="236" spans="1:19">
      <c r="A236"/>
      <c r="B236"/>
      <c r="C236"/>
      <c r="D236"/>
      <c r="E236"/>
      <c r="F236"/>
      <c r="G236"/>
      <c r="H236"/>
      <c r="I236"/>
      <c r="J236"/>
      <c r="K236"/>
      <c r="L236"/>
      <c r="M236"/>
      <c r="N236"/>
      <c r="O236"/>
      <c r="P236"/>
      <c r="Q236"/>
      <c r="R236"/>
      <c r="S236"/>
    </row>
    <row r="237" spans="1:19">
      <c r="A237"/>
      <c r="B237"/>
      <c r="C237"/>
      <c r="D237"/>
      <c r="E237"/>
      <c r="F237"/>
      <c r="G237"/>
      <c r="H237"/>
      <c r="I237"/>
      <c r="J237"/>
      <c r="K237"/>
      <c r="L237"/>
      <c r="M237"/>
      <c r="N237"/>
      <c r="O237"/>
      <c r="P237"/>
      <c r="Q237"/>
      <c r="R237"/>
      <c r="S237"/>
    </row>
    <row r="238" spans="1:19">
      <c r="A238"/>
      <c r="B238"/>
      <c r="C238"/>
      <c r="D238"/>
      <c r="E238"/>
      <c r="F238"/>
      <c r="G238"/>
      <c r="H238"/>
      <c r="I238"/>
      <c r="J238"/>
      <c r="K238"/>
      <c r="L238"/>
      <c r="M238"/>
      <c r="N238"/>
      <c r="O238"/>
      <c r="P238"/>
      <c r="Q238"/>
      <c r="R238"/>
      <c r="S238"/>
    </row>
    <row r="239" spans="1:19">
      <c r="A239"/>
      <c r="B239"/>
      <c r="C239"/>
      <c r="D239"/>
      <c r="E239"/>
      <c r="F239"/>
      <c r="G239"/>
      <c r="H239"/>
      <c r="I239"/>
      <c r="J239"/>
      <c r="K239"/>
      <c r="L239"/>
      <c r="M239"/>
      <c r="N239"/>
      <c r="O239"/>
      <c r="P239"/>
      <c r="Q239"/>
      <c r="R239"/>
      <c r="S239"/>
    </row>
    <row r="240" spans="1:19">
      <c r="A240"/>
      <c r="B240"/>
      <c r="C240"/>
      <c r="D240"/>
      <c r="E240"/>
      <c r="F240"/>
      <c r="G240"/>
      <c r="H240"/>
      <c r="I240"/>
      <c r="J240"/>
      <c r="K240"/>
      <c r="L240"/>
      <c r="M240"/>
      <c r="N240"/>
      <c r="O240"/>
      <c r="P240"/>
      <c r="Q240"/>
      <c r="R240"/>
      <c r="S240"/>
    </row>
    <row r="241" spans="1:19">
      <c r="A241"/>
      <c r="B241"/>
      <c r="C241"/>
      <c r="D241"/>
      <c r="E241"/>
      <c r="F241"/>
      <c r="G241"/>
      <c r="H241"/>
      <c r="I241"/>
      <c r="J241"/>
      <c r="K241"/>
      <c r="L241"/>
      <c r="M241"/>
      <c r="N241"/>
      <c r="O241"/>
      <c r="P241"/>
      <c r="Q241"/>
      <c r="R241"/>
      <c r="S241"/>
    </row>
    <row r="242" spans="1:19">
      <c r="A242"/>
      <c r="B242"/>
      <c r="C242"/>
      <c r="D242"/>
      <c r="E242"/>
      <c r="F242"/>
      <c r="G242"/>
      <c r="H242"/>
      <c r="I242"/>
      <c r="J242"/>
      <c r="K242"/>
      <c r="L242"/>
      <c r="M242"/>
      <c r="N242"/>
      <c r="O242"/>
      <c r="P242"/>
      <c r="Q242"/>
      <c r="R242"/>
      <c r="S242"/>
    </row>
    <row r="243" spans="1:19">
      <c r="A243"/>
      <c r="B243"/>
      <c r="C243"/>
      <c r="D243"/>
      <c r="E243"/>
      <c r="F243"/>
      <c r="G243"/>
      <c r="H243"/>
      <c r="I243"/>
      <c r="J243"/>
      <c r="K243"/>
      <c r="L243"/>
      <c r="M243"/>
      <c r="N243"/>
      <c r="O243"/>
      <c r="P243"/>
      <c r="Q243"/>
      <c r="R243"/>
      <c r="S243"/>
    </row>
    <row r="244" spans="1:19">
      <c r="A244"/>
      <c r="B244"/>
      <c r="C244"/>
      <c r="D244"/>
      <c r="E244"/>
      <c r="F244"/>
      <c r="G244"/>
      <c r="H244"/>
      <c r="I244"/>
      <c r="J244"/>
      <c r="K244"/>
      <c r="L244"/>
      <c r="M244"/>
      <c r="N244"/>
      <c r="O244"/>
      <c r="P244"/>
      <c r="Q244"/>
      <c r="R244"/>
      <c r="S244"/>
    </row>
    <row r="245" spans="1:19">
      <c r="A245"/>
      <c r="B245"/>
      <c r="C245"/>
      <c r="D245"/>
      <c r="E245"/>
      <c r="F245"/>
      <c r="G245"/>
      <c r="H245"/>
      <c r="I245"/>
      <c r="J245"/>
      <c r="K245"/>
      <c r="L245"/>
      <c r="M245"/>
      <c r="N245"/>
      <c r="O245"/>
      <c r="P245"/>
      <c r="Q245"/>
      <c r="R245"/>
      <c r="S245"/>
    </row>
    <row r="246" spans="1:19">
      <c r="A246"/>
      <c r="B246"/>
      <c r="C246"/>
      <c r="D246"/>
      <c r="E246"/>
      <c r="F246"/>
      <c r="G246"/>
      <c r="H246"/>
      <c r="I246"/>
      <c r="J246"/>
      <c r="K246"/>
      <c r="L246"/>
      <c r="M246"/>
      <c r="N246"/>
      <c r="O246"/>
      <c r="P246"/>
      <c r="Q246"/>
      <c r="R246"/>
      <c r="S246"/>
    </row>
    <row r="247" spans="1:19">
      <c r="A247"/>
      <c r="B247"/>
      <c r="C247"/>
      <c r="D247"/>
      <c r="E247"/>
      <c r="F247"/>
      <c r="G247"/>
      <c r="H247"/>
      <c r="I247"/>
      <c r="J247"/>
      <c r="K247"/>
      <c r="L247"/>
      <c r="M247"/>
      <c r="N247"/>
      <c r="O247"/>
      <c r="P247"/>
      <c r="Q247"/>
      <c r="R247"/>
      <c r="S247"/>
    </row>
    <row r="248" spans="1:19">
      <c r="A248"/>
      <c r="B248"/>
      <c r="C248"/>
      <c r="D248"/>
      <c r="E248"/>
      <c r="F248"/>
      <c r="G248"/>
      <c r="H248"/>
      <c r="I248"/>
      <c r="J248"/>
      <c r="K248"/>
      <c r="L248"/>
      <c r="M248"/>
      <c r="N248"/>
      <c r="O248"/>
      <c r="P248"/>
      <c r="Q248"/>
      <c r="R248"/>
      <c r="S248"/>
    </row>
    <row r="249" spans="1:19">
      <c r="A249"/>
      <c r="B249"/>
      <c r="C249"/>
      <c r="D249"/>
      <c r="E249"/>
      <c r="F249"/>
      <c r="G249"/>
      <c r="H249"/>
      <c r="I249"/>
      <c r="J249"/>
      <c r="K249"/>
      <c r="L249"/>
      <c r="M249"/>
      <c r="N249"/>
      <c r="O249"/>
      <c r="P249"/>
      <c r="Q249"/>
      <c r="R249"/>
      <c r="S249"/>
    </row>
    <row r="250" spans="1:19">
      <c r="A250"/>
      <c r="B250"/>
      <c r="C250"/>
      <c r="D250"/>
      <c r="E250"/>
      <c r="F250"/>
      <c r="G250"/>
      <c r="H250"/>
      <c r="I250"/>
      <c r="J250"/>
      <c r="K250"/>
      <c r="L250"/>
      <c r="M250"/>
      <c r="N250"/>
      <c r="O250"/>
      <c r="P250"/>
      <c r="Q250"/>
      <c r="R250"/>
      <c r="S250"/>
    </row>
    <row r="251" spans="1:19">
      <c r="A251"/>
      <c r="B251"/>
      <c r="C251"/>
      <c r="D251"/>
      <c r="E251"/>
      <c r="F251"/>
      <c r="G251"/>
      <c r="H251"/>
      <c r="I251"/>
      <c r="J251"/>
      <c r="K251"/>
      <c r="L251"/>
      <c r="M251"/>
      <c r="N251"/>
      <c r="O251"/>
      <c r="P251"/>
      <c r="Q251"/>
      <c r="R251"/>
      <c r="S251"/>
    </row>
    <row r="252" spans="1:19">
      <c r="A252"/>
      <c r="B252"/>
      <c r="C252"/>
      <c r="D252"/>
      <c r="E252"/>
      <c r="F252"/>
      <c r="G252"/>
      <c r="H252"/>
      <c r="I252"/>
      <c r="J252"/>
      <c r="K252"/>
      <c r="L252"/>
      <c r="M252"/>
      <c r="N252"/>
      <c r="O252"/>
      <c r="P252"/>
      <c r="Q252"/>
      <c r="R252"/>
      <c r="S252"/>
    </row>
    <row r="253" spans="1:19">
      <c r="A253"/>
      <c r="B253"/>
      <c r="C253"/>
      <c r="D253"/>
      <c r="E253"/>
      <c r="F253"/>
      <c r="G253"/>
      <c r="H253"/>
      <c r="I253"/>
      <c r="J253"/>
      <c r="K253"/>
      <c r="L253"/>
      <c r="M253"/>
      <c r="N253"/>
      <c r="O253"/>
      <c r="P253"/>
      <c r="Q253"/>
      <c r="R253"/>
      <c r="S253"/>
    </row>
    <row r="254" spans="1:19">
      <c r="A254"/>
      <c r="B254"/>
      <c r="C254"/>
      <c r="D254"/>
      <c r="E254"/>
      <c r="F254"/>
      <c r="G254"/>
      <c r="H254"/>
      <c r="I254"/>
      <c r="J254"/>
      <c r="K254"/>
      <c r="L254"/>
      <c r="M254"/>
      <c r="N254"/>
      <c r="O254"/>
      <c r="P254"/>
      <c r="Q254"/>
      <c r="R254"/>
      <c r="S254"/>
    </row>
    <row r="255" spans="1:19">
      <c r="A255"/>
      <c r="B255"/>
      <c r="C255"/>
      <c r="D255"/>
      <c r="E255"/>
      <c r="F255"/>
      <c r="G255"/>
      <c r="H255"/>
      <c r="I255"/>
      <c r="J255"/>
      <c r="K255"/>
      <c r="L255"/>
      <c r="M255"/>
      <c r="N255"/>
      <c r="O255"/>
      <c r="P255"/>
      <c r="Q255"/>
      <c r="R255"/>
      <c r="S255"/>
    </row>
    <row r="256" spans="1:19">
      <c r="A256"/>
      <c r="B256"/>
      <c r="C256"/>
      <c r="D256"/>
      <c r="E256"/>
      <c r="F256"/>
      <c r="G256"/>
      <c r="H256"/>
      <c r="I256"/>
      <c r="J256"/>
      <c r="K256"/>
      <c r="L256"/>
      <c r="M256"/>
      <c r="N256"/>
      <c r="O256"/>
      <c r="P256"/>
      <c r="Q256"/>
      <c r="R256"/>
      <c r="S256"/>
    </row>
    <row r="257" spans="1:19">
      <c r="A257"/>
      <c r="B257"/>
      <c r="C257"/>
      <c r="D257"/>
      <c r="E257"/>
      <c r="F257"/>
      <c r="G257"/>
      <c r="H257"/>
      <c r="I257"/>
      <c r="J257"/>
      <c r="K257"/>
      <c r="L257"/>
      <c r="M257"/>
      <c r="N257"/>
      <c r="O257"/>
      <c r="P257"/>
      <c r="Q257"/>
      <c r="R257"/>
      <c r="S257"/>
    </row>
    <row r="258" spans="1:19">
      <c r="A258"/>
      <c r="B258"/>
      <c r="C258"/>
      <c r="D258"/>
      <c r="E258"/>
      <c r="F258"/>
      <c r="G258"/>
      <c r="H258"/>
      <c r="I258"/>
      <c r="J258"/>
      <c r="K258"/>
      <c r="L258"/>
      <c r="M258"/>
      <c r="N258"/>
      <c r="O258"/>
      <c r="P258"/>
      <c r="Q258"/>
      <c r="R258"/>
      <c r="S258"/>
    </row>
    <row r="259" spans="1:19">
      <c r="A259"/>
      <c r="B259"/>
      <c r="C259"/>
      <c r="D259"/>
      <c r="E259"/>
      <c r="F259"/>
      <c r="G259"/>
      <c r="H259"/>
      <c r="I259"/>
      <c r="J259"/>
      <c r="K259"/>
      <c r="L259"/>
      <c r="M259"/>
      <c r="N259"/>
      <c r="O259"/>
      <c r="P259"/>
      <c r="Q259"/>
      <c r="R259"/>
      <c r="S259"/>
    </row>
    <row r="260" spans="1:19">
      <c r="A260"/>
      <c r="B260"/>
      <c r="C260"/>
      <c r="D260"/>
      <c r="E260"/>
      <c r="F260"/>
      <c r="G260"/>
      <c r="H260"/>
      <c r="I260"/>
      <c r="J260"/>
      <c r="K260"/>
      <c r="L260"/>
      <c r="M260"/>
      <c r="N260"/>
      <c r="O260"/>
      <c r="P260"/>
      <c r="Q260"/>
      <c r="R260"/>
      <c r="S260"/>
    </row>
    <row r="261" spans="1:19">
      <c r="A261"/>
      <c r="B261"/>
      <c r="C261"/>
      <c r="D261"/>
      <c r="E261"/>
      <c r="F261"/>
      <c r="G261"/>
      <c r="H261"/>
      <c r="I261"/>
      <c r="J261"/>
      <c r="K261"/>
      <c r="L261"/>
      <c r="M261"/>
      <c r="N261"/>
      <c r="O261"/>
      <c r="P261"/>
      <c r="Q261"/>
      <c r="R261"/>
      <c r="S261"/>
    </row>
    <row r="262" spans="1:19">
      <c r="A262"/>
      <c r="B262"/>
      <c r="C262"/>
      <c r="D262"/>
      <c r="E262"/>
      <c r="F262"/>
      <c r="G262"/>
      <c r="H262"/>
      <c r="I262"/>
      <c r="J262"/>
      <c r="K262"/>
      <c r="L262"/>
      <c r="M262"/>
      <c r="N262"/>
      <c r="O262"/>
      <c r="P262"/>
      <c r="Q262"/>
      <c r="R262"/>
      <c r="S262"/>
    </row>
    <row r="263" spans="1:19">
      <c r="A263"/>
      <c r="B263"/>
      <c r="C263"/>
      <c r="D263"/>
      <c r="E263"/>
      <c r="F263"/>
      <c r="G263"/>
      <c r="H263"/>
      <c r="I263"/>
      <c r="J263"/>
      <c r="K263"/>
      <c r="L263"/>
      <c r="M263"/>
      <c r="N263"/>
      <c r="O263"/>
      <c r="P263"/>
      <c r="Q263"/>
      <c r="R263"/>
      <c r="S263"/>
    </row>
    <row r="264" spans="1:19">
      <c r="A264"/>
      <c r="B264"/>
      <c r="C264"/>
      <c r="D264"/>
      <c r="E264"/>
      <c r="F264"/>
      <c r="G264"/>
      <c r="H264"/>
      <c r="I264"/>
      <c r="J264"/>
      <c r="K264"/>
      <c r="L264"/>
      <c r="M264"/>
      <c r="N264"/>
      <c r="O264"/>
      <c r="P264"/>
      <c r="Q264"/>
      <c r="R264"/>
      <c r="S264"/>
    </row>
    <row r="265" spans="1:19">
      <c r="A265"/>
      <c r="B265"/>
      <c r="C265"/>
      <c r="D265"/>
      <c r="E265"/>
      <c r="F265"/>
      <c r="G265"/>
      <c r="H265"/>
      <c r="I265"/>
      <c r="J265"/>
      <c r="K265"/>
      <c r="L265"/>
      <c r="M265"/>
      <c r="N265"/>
      <c r="O265"/>
      <c r="P265"/>
      <c r="Q265"/>
      <c r="R265"/>
      <c r="S265"/>
    </row>
    <row r="266" spans="1:19">
      <c r="A266"/>
      <c r="B266"/>
      <c r="C266"/>
      <c r="D266"/>
      <c r="E266"/>
      <c r="F266"/>
      <c r="G266"/>
      <c r="H266"/>
      <c r="I266"/>
      <c r="J266"/>
      <c r="K266"/>
      <c r="L266"/>
      <c r="M266"/>
      <c r="N266"/>
      <c r="O266"/>
      <c r="P266"/>
      <c r="Q266"/>
      <c r="R266"/>
      <c r="S266"/>
    </row>
    <row r="267" spans="1:19">
      <c r="A267"/>
      <c r="B267"/>
      <c r="C267"/>
      <c r="D267"/>
      <c r="E267"/>
      <c r="F267"/>
      <c r="G267"/>
      <c r="H267"/>
      <c r="I267"/>
      <c r="J267"/>
      <c r="K267"/>
      <c r="L267"/>
      <c r="M267"/>
      <c r="N267"/>
      <c r="O267"/>
      <c r="P267"/>
      <c r="Q267"/>
      <c r="R267"/>
      <c r="S267"/>
    </row>
    <row r="268" spans="1:19">
      <c r="A268"/>
      <c r="B268"/>
      <c r="C268"/>
      <c r="D268"/>
      <c r="E268"/>
      <c r="F268"/>
      <c r="G268"/>
      <c r="H268"/>
      <c r="I268"/>
      <c r="J268"/>
      <c r="K268"/>
      <c r="L268"/>
      <c r="M268"/>
      <c r="N268"/>
      <c r="O268"/>
      <c r="P268"/>
      <c r="Q268"/>
      <c r="R268"/>
      <c r="S268"/>
    </row>
    <row r="269" spans="1:19">
      <c r="A269"/>
      <c r="B269"/>
      <c r="C269"/>
      <c r="D269"/>
      <c r="E269"/>
      <c r="F269"/>
      <c r="G269"/>
      <c r="H269"/>
      <c r="I269"/>
      <c r="J269"/>
      <c r="K269"/>
      <c r="L269"/>
      <c r="M269"/>
      <c r="N269"/>
      <c r="O269"/>
      <c r="P269"/>
      <c r="Q269"/>
      <c r="R269"/>
      <c r="S269"/>
    </row>
    <row r="270" spans="1:19">
      <c r="A270"/>
      <c r="B270"/>
      <c r="C270"/>
      <c r="D270"/>
      <c r="E270"/>
      <c r="F270"/>
      <c r="G270"/>
      <c r="H270"/>
      <c r="I270"/>
      <c r="J270"/>
      <c r="K270"/>
      <c r="L270"/>
      <c r="M270"/>
      <c r="N270"/>
      <c r="O270"/>
      <c r="P270"/>
      <c r="Q270"/>
      <c r="R270"/>
      <c r="S270"/>
    </row>
    <row r="271" spans="1:19">
      <c r="A271"/>
      <c r="B271"/>
      <c r="C271"/>
      <c r="D271"/>
      <c r="E271"/>
      <c r="F271"/>
      <c r="G271"/>
      <c r="H271"/>
      <c r="I271"/>
      <c r="J271"/>
      <c r="K271"/>
      <c r="L271"/>
      <c r="M271"/>
      <c r="N271"/>
      <c r="O271"/>
      <c r="P271"/>
      <c r="Q271"/>
      <c r="R271"/>
      <c r="S271"/>
    </row>
    <row r="272" spans="1:19">
      <c r="A272"/>
      <c r="B272"/>
      <c r="C272"/>
      <c r="D272"/>
      <c r="E272"/>
      <c r="F272"/>
      <c r="G272"/>
      <c r="H272"/>
      <c r="I272"/>
      <c r="J272"/>
      <c r="K272"/>
      <c r="L272"/>
      <c r="M272"/>
      <c r="N272"/>
      <c r="O272"/>
      <c r="P272"/>
      <c r="Q272"/>
      <c r="R272"/>
      <c r="S272"/>
    </row>
    <row r="273" spans="1:19">
      <c r="A273"/>
      <c r="B273"/>
      <c r="C273"/>
      <c r="D273"/>
      <c r="E273"/>
      <c r="F273"/>
      <c r="G273"/>
      <c r="H273"/>
      <c r="I273"/>
      <c r="J273"/>
      <c r="K273"/>
      <c r="L273"/>
      <c r="M273"/>
      <c r="N273"/>
      <c r="O273"/>
      <c r="P273"/>
      <c r="Q273"/>
      <c r="R273"/>
      <c r="S273"/>
    </row>
    <row r="274" spans="1:19">
      <c r="A274"/>
      <c r="B274"/>
      <c r="C274"/>
      <c r="D274"/>
      <c r="E274"/>
      <c r="F274"/>
      <c r="G274"/>
      <c r="H274"/>
      <c r="I274"/>
      <c r="J274"/>
      <c r="K274"/>
      <c r="L274"/>
      <c r="M274"/>
      <c r="N274"/>
      <c r="O274"/>
      <c r="P274"/>
      <c r="Q274"/>
      <c r="R274"/>
      <c r="S274"/>
    </row>
    <row r="275" spans="1:19">
      <c r="A275"/>
      <c r="B275"/>
      <c r="C275"/>
      <c r="D275"/>
      <c r="E275"/>
      <c r="F275"/>
      <c r="G275"/>
      <c r="H275"/>
      <c r="I275"/>
      <c r="J275"/>
      <c r="K275"/>
      <c r="L275"/>
      <c r="M275"/>
      <c r="N275"/>
      <c r="O275"/>
      <c r="P275"/>
      <c r="Q275"/>
      <c r="R275"/>
      <c r="S275"/>
    </row>
    <row r="276" spans="1:19">
      <c r="A276"/>
      <c r="B276"/>
      <c r="C276"/>
      <c r="D276"/>
      <c r="E276"/>
      <c r="F276"/>
      <c r="G276"/>
      <c r="H276"/>
      <c r="I276"/>
      <c r="J276"/>
      <c r="K276"/>
      <c r="L276"/>
      <c r="M276"/>
      <c r="N276"/>
      <c r="O276"/>
      <c r="P276"/>
      <c r="Q276"/>
      <c r="R276"/>
      <c r="S276"/>
    </row>
    <row r="277" spans="1:19">
      <c r="A277"/>
      <c r="B277"/>
      <c r="C277"/>
      <c r="D277"/>
      <c r="E277"/>
      <c r="F277"/>
      <c r="G277"/>
      <c r="H277"/>
      <c r="I277"/>
      <c r="J277"/>
      <c r="K277"/>
      <c r="L277"/>
      <c r="M277"/>
      <c r="N277"/>
      <c r="O277"/>
      <c r="P277"/>
      <c r="Q277"/>
      <c r="R277"/>
      <c r="S277"/>
    </row>
    <row r="278" spans="1:19">
      <c r="A278"/>
      <c r="B278"/>
      <c r="C278"/>
      <c r="D278"/>
      <c r="E278"/>
      <c r="F278"/>
      <c r="G278"/>
      <c r="H278"/>
      <c r="I278"/>
      <c r="J278"/>
      <c r="K278"/>
      <c r="L278"/>
      <c r="M278"/>
      <c r="N278"/>
      <c r="O278"/>
      <c r="P278"/>
      <c r="Q278"/>
      <c r="R278"/>
      <c r="S278"/>
    </row>
    <row r="279" spans="1:19">
      <c r="A279"/>
      <c r="B279"/>
      <c r="C279"/>
      <c r="D279"/>
      <c r="E279"/>
      <c r="F279"/>
      <c r="G279"/>
      <c r="H279"/>
      <c r="I279"/>
      <c r="J279"/>
      <c r="K279"/>
      <c r="L279"/>
      <c r="M279"/>
      <c r="N279"/>
      <c r="O279"/>
      <c r="P279"/>
      <c r="Q279"/>
      <c r="R279"/>
      <c r="S279"/>
    </row>
    <row r="280" spans="1:19">
      <c r="A280"/>
      <c r="B280"/>
      <c r="C280"/>
      <c r="D280"/>
      <c r="E280"/>
      <c r="F280"/>
      <c r="G280"/>
      <c r="H280"/>
      <c r="I280"/>
      <c r="J280"/>
      <c r="K280"/>
      <c r="L280"/>
      <c r="M280"/>
      <c r="N280"/>
      <c r="O280"/>
      <c r="P280"/>
      <c r="Q280"/>
      <c r="R280"/>
      <c r="S280"/>
    </row>
    <row r="281" spans="1:19">
      <c r="A281"/>
      <c r="B281"/>
      <c r="C281"/>
      <c r="D281"/>
      <c r="E281"/>
      <c r="F281"/>
      <c r="G281"/>
      <c r="H281"/>
      <c r="I281"/>
      <c r="J281"/>
      <c r="K281"/>
      <c r="L281"/>
      <c r="M281"/>
      <c r="N281"/>
      <c r="O281"/>
      <c r="P281"/>
      <c r="Q281"/>
      <c r="R281"/>
      <c r="S281"/>
    </row>
    <row r="282" spans="1:19">
      <c r="A282"/>
      <c r="B282"/>
      <c r="C282"/>
      <c r="D282"/>
      <c r="E282"/>
      <c r="F282"/>
      <c r="G282"/>
      <c r="H282"/>
      <c r="I282"/>
      <c r="J282"/>
      <c r="K282"/>
      <c r="L282"/>
      <c r="M282"/>
      <c r="N282"/>
      <c r="O282"/>
      <c r="P282"/>
      <c r="Q282"/>
      <c r="R282"/>
      <c r="S282"/>
    </row>
    <row r="283" spans="1:19">
      <c r="A283"/>
      <c r="B283"/>
      <c r="C283"/>
      <c r="D283"/>
      <c r="E283"/>
      <c r="F283"/>
      <c r="G283"/>
      <c r="H283"/>
      <c r="I283"/>
      <c r="J283"/>
      <c r="K283"/>
      <c r="L283"/>
      <c r="M283"/>
      <c r="N283"/>
      <c r="O283"/>
      <c r="P283"/>
      <c r="Q283"/>
      <c r="R283"/>
      <c r="S283"/>
    </row>
    <row r="284" spans="1:19">
      <c r="A284"/>
      <c r="B284"/>
      <c r="C284"/>
      <c r="D284"/>
      <c r="E284"/>
      <c r="F284"/>
      <c r="G284"/>
      <c r="H284"/>
      <c r="I284"/>
      <c r="J284"/>
      <c r="K284"/>
      <c r="L284"/>
      <c r="M284"/>
      <c r="N284"/>
      <c r="O284"/>
      <c r="P284"/>
      <c r="Q284"/>
      <c r="R284"/>
      <c r="S284"/>
    </row>
    <row r="285" spans="1:19">
      <c r="A285"/>
      <c r="B285"/>
      <c r="C285"/>
      <c r="D285"/>
      <c r="E285"/>
      <c r="F285"/>
      <c r="G285"/>
      <c r="H285"/>
      <c r="I285"/>
      <c r="J285"/>
      <c r="K285"/>
      <c r="L285"/>
      <c r="M285"/>
      <c r="N285"/>
      <c r="O285"/>
      <c r="P285"/>
      <c r="Q285"/>
      <c r="R285"/>
      <c r="S285"/>
    </row>
    <row r="286" spans="1:19">
      <c r="A286"/>
      <c r="B286"/>
      <c r="C286"/>
      <c r="D286"/>
      <c r="E286"/>
      <c r="F286"/>
      <c r="G286"/>
      <c r="H286"/>
      <c r="I286"/>
      <c r="J286"/>
      <c r="K286"/>
      <c r="L286"/>
      <c r="M286"/>
      <c r="N286"/>
      <c r="O286"/>
      <c r="P286"/>
      <c r="Q286"/>
      <c r="R286"/>
      <c r="S286"/>
    </row>
    <row r="287" spans="1:19">
      <c r="A287"/>
      <c r="B287"/>
      <c r="C287"/>
      <c r="D287"/>
      <c r="E287"/>
      <c r="F287"/>
      <c r="G287"/>
      <c r="H287"/>
      <c r="I287"/>
      <c r="J287"/>
      <c r="K287"/>
      <c r="L287"/>
      <c r="M287"/>
      <c r="N287"/>
      <c r="O287"/>
      <c r="P287"/>
      <c r="Q287"/>
      <c r="R287"/>
      <c r="S287"/>
    </row>
    <row r="288" spans="1:19">
      <c r="A288"/>
      <c r="B288"/>
      <c r="C288"/>
      <c r="D288"/>
      <c r="E288"/>
      <c r="F288"/>
      <c r="G288"/>
      <c r="H288"/>
      <c r="I288"/>
      <c r="J288"/>
      <c r="K288"/>
      <c r="L288"/>
      <c r="M288"/>
      <c r="N288"/>
      <c r="O288"/>
      <c r="P288"/>
      <c r="Q288"/>
      <c r="R288"/>
      <c r="S288"/>
    </row>
    <row r="289" spans="1:19">
      <c r="A289"/>
      <c r="B289"/>
      <c r="C289"/>
      <c r="D289"/>
      <c r="E289"/>
      <c r="F289"/>
      <c r="G289"/>
      <c r="H289"/>
      <c r="I289"/>
      <c r="J289"/>
      <c r="K289"/>
      <c r="L289"/>
      <c r="M289"/>
      <c r="N289"/>
      <c r="O289"/>
      <c r="P289"/>
      <c r="Q289"/>
      <c r="R289"/>
      <c r="S289"/>
    </row>
    <row r="290" spans="1:19">
      <c r="A290"/>
      <c r="B290"/>
      <c r="C290"/>
      <c r="D290"/>
      <c r="E290"/>
      <c r="F290"/>
      <c r="G290"/>
      <c r="H290"/>
      <c r="I290"/>
      <c r="J290"/>
      <c r="K290"/>
      <c r="L290"/>
      <c r="M290"/>
      <c r="N290"/>
      <c r="O290"/>
      <c r="P290"/>
      <c r="Q290"/>
      <c r="R290"/>
      <c r="S290"/>
    </row>
    <row r="291" spans="1:19">
      <c r="A291"/>
      <c r="B291"/>
      <c r="C291"/>
      <c r="D291"/>
      <c r="E291"/>
      <c r="F291"/>
      <c r="G291"/>
      <c r="H291"/>
      <c r="I291"/>
      <c r="J291"/>
      <c r="K291"/>
      <c r="L291"/>
      <c r="M291"/>
      <c r="N291"/>
      <c r="O291"/>
      <c r="P291"/>
      <c r="Q291"/>
      <c r="R291"/>
      <c r="S291"/>
    </row>
    <row r="292" spans="1:19">
      <c r="A292"/>
      <c r="B292"/>
      <c r="C292"/>
      <c r="D292"/>
      <c r="E292"/>
      <c r="F292"/>
      <c r="G292"/>
      <c r="H292"/>
      <c r="I292"/>
      <c r="J292"/>
      <c r="K292"/>
      <c r="L292"/>
      <c r="M292"/>
      <c r="N292"/>
      <c r="O292"/>
      <c r="P292"/>
      <c r="Q292"/>
      <c r="R292"/>
      <c r="S292"/>
    </row>
    <row r="293" spans="1:19">
      <c r="A293"/>
      <c r="B293"/>
      <c r="C293"/>
      <c r="D293"/>
      <c r="E293"/>
      <c r="F293"/>
      <c r="G293"/>
      <c r="H293"/>
      <c r="I293"/>
      <c r="J293"/>
      <c r="K293"/>
      <c r="L293"/>
      <c r="M293"/>
      <c r="N293"/>
      <c r="O293"/>
      <c r="P293"/>
      <c r="Q293"/>
      <c r="R293"/>
      <c r="S293"/>
    </row>
    <row r="294" spans="1:19">
      <c r="A294"/>
      <c r="B294"/>
      <c r="C294"/>
      <c r="D294"/>
      <c r="E294"/>
      <c r="F294"/>
      <c r="G294"/>
      <c r="H294"/>
      <c r="I294"/>
      <c r="J294"/>
      <c r="K294"/>
      <c r="L294"/>
      <c r="M294"/>
      <c r="N294"/>
      <c r="O294"/>
      <c r="P294"/>
      <c r="Q294"/>
      <c r="R294"/>
      <c r="S294"/>
    </row>
    <row r="295" spans="1:19">
      <c r="A295"/>
      <c r="B295"/>
      <c r="C295"/>
      <c r="D295"/>
      <c r="E295"/>
      <c r="F295"/>
      <c r="G295"/>
      <c r="H295"/>
      <c r="I295"/>
      <c r="J295"/>
      <c r="K295"/>
      <c r="L295"/>
      <c r="M295"/>
      <c r="N295"/>
      <c r="O295"/>
      <c r="P295"/>
      <c r="Q295"/>
      <c r="R295"/>
      <c r="S295"/>
    </row>
    <row r="296" spans="1:19">
      <c r="A296"/>
      <c r="B296"/>
      <c r="C296"/>
      <c r="D296"/>
      <c r="E296"/>
      <c r="F296"/>
      <c r="G296"/>
      <c r="H296"/>
      <c r="I296"/>
      <c r="J296"/>
      <c r="K296"/>
      <c r="L296"/>
      <c r="M296"/>
      <c r="N296"/>
      <c r="O296"/>
      <c r="P296"/>
      <c r="Q296"/>
      <c r="R296"/>
      <c r="S296"/>
    </row>
    <row r="297" spans="1:19">
      <c r="A297"/>
      <c r="B297"/>
      <c r="C297"/>
      <c r="D297"/>
      <c r="E297"/>
      <c r="F297"/>
      <c r="G297"/>
      <c r="H297"/>
      <c r="I297"/>
      <c r="J297"/>
      <c r="K297"/>
      <c r="L297"/>
      <c r="M297"/>
      <c r="N297"/>
      <c r="O297"/>
      <c r="P297"/>
      <c r="Q297"/>
      <c r="R297"/>
      <c r="S297"/>
    </row>
    <row r="298" spans="1:19">
      <c r="A298"/>
      <c r="B298"/>
      <c r="C298"/>
      <c r="D298"/>
      <c r="E298"/>
      <c r="F298"/>
      <c r="G298"/>
      <c r="H298"/>
      <c r="I298"/>
      <c r="J298"/>
      <c r="K298"/>
      <c r="L298"/>
      <c r="M298"/>
      <c r="N298"/>
      <c r="O298"/>
      <c r="P298"/>
      <c r="Q298"/>
      <c r="R298"/>
      <c r="S298"/>
    </row>
    <row r="299" spans="1:19">
      <c r="A299"/>
      <c r="B299"/>
      <c r="C299"/>
      <c r="D299"/>
      <c r="E299"/>
      <c r="F299"/>
      <c r="G299"/>
      <c r="H299"/>
      <c r="I299"/>
      <c r="J299"/>
      <c r="K299"/>
      <c r="L299"/>
      <c r="M299"/>
      <c r="N299"/>
      <c r="O299"/>
      <c r="P299"/>
      <c r="Q299"/>
      <c r="R299"/>
      <c r="S299"/>
    </row>
    <row r="300" spans="1:19">
      <c r="A300"/>
      <c r="B300"/>
      <c r="C300"/>
      <c r="D300"/>
      <c r="E300"/>
      <c r="F300"/>
      <c r="G300"/>
      <c r="H300"/>
      <c r="I300"/>
      <c r="J300"/>
      <c r="K300"/>
      <c r="L300"/>
      <c r="M300"/>
      <c r="N300"/>
      <c r="O300"/>
      <c r="P300"/>
      <c r="Q300"/>
      <c r="R300"/>
      <c r="S300"/>
    </row>
    <row r="301" spans="1:19">
      <c r="A301"/>
      <c r="B301"/>
      <c r="C301"/>
      <c r="D301"/>
      <c r="E301"/>
      <c r="F301"/>
      <c r="G301"/>
      <c r="H301"/>
      <c r="I301"/>
      <c r="J301"/>
      <c r="K301"/>
      <c r="L301"/>
      <c r="M301"/>
      <c r="N301"/>
      <c r="O301"/>
      <c r="P301"/>
      <c r="Q301"/>
      <c r="R301"/>
      <c r="S301"/>
    </row>
    <row r="302" spans="1:19">
      <c r="A302"/>
      <c r="B302"/>
      <c r="C302"/>
      <c r="D302"/>
      <c r="E302"/>
      <c r="F302"/>
      <c r="G302"/>
      <c r="H302"/>
      <c r="I302"/>
      <c r="J302"/>
      <c r="K302"/>
      <c r="L302"/>
      <c r="M302"/>
      <c r="N302"/>
      <c r="O302"/>
      <c r="P302"/>
      <c r="Q302"/>
      <c r="R302"/>
      <c r="S302"/>
    </row>
    <row r="303" spans="1:19">
      <c r="A303"/>
      <c r="B303"/>
      <c r="C303"/>
      <c r="D303"/>
      <c r="E303"/>
      <c r="F303"/>
      <c r="G303"/>
      <c r="H303"/>
      <c r="I303"/>
      <c r="J303"/>
      <c r="K303"/>
      <c r="L303"/>
      <c r="M303"/>
      <c r="N303"/>
      <c r="O303"/>
      <c r="P303"/>
      <c r="Q303"/>
      <c r="R303"/>
      <c r="S303"/>
    </row>
    <row r="304" spans="1:19">
      <c r="A304"/>
      <c r="B304"/>
      <c r="C304"/>
      <c r="D304"/>
      <c r="E304"/>
      <c r="F304"/>
      <c r="G304"/>
      <c r="H304"/>
      <c r="I304"/>
      <c r="J304"/>
      <c r="K304"/>
      <c r="L304"/>
      <c r="M304"/>
      <c r="N304"/>
      <c r="O304"/>
      <c r="P304"/>
      <c r="Q304"/>
      <c r="R304"/>
      <c r="S304"/>
    </row>
    <row r="305" spans="1:19">
      <c r="A305"/>
      <c r="B305"/>
      <c r="C305"/>
      <c r="D305"/>
      <c r="E305"/>
      <c r="F305"/>
      <c r="G305"/>
      <c r="H305"/>
      <c r="I305"/>
      <c r="J305"/>
      <c r="K305"/>
      <c r="L305"/>
      <c r="M305"/>
      <c r="N305"/>
      <c r="O305"/>
      <c r="P305"/>
      <c r="Q305"/>
      <c r="R305"/>
      <c r="S305"/>
    </row>
    <row r="306" spans="1:19">
      <c r="A306"/>
      <c r="B306"/>
      <c r="C306"/>
      <c r="D306"/>
      <c r="E306"/>
      <c r="F306"/>
      <c r="G306"/>
      <c r="H306"/>
      <c r="I306"/>
      <c r="J306"/>
      <c r="K306"/>
      <c r="L306"/>
      <c r="M306"/>
      <c r="N306"/>
      <c r="O306"/>
      <c r="P306"/>
      <c r="Q306"/>
      <c r="R306"/>
      <c r="S306"/>
    </row>
    <row r="307" spans="1:19">
      <c r="A307"/>
      <c r="B307"/>
      <c r="C307"/>
      <c r="D307"/>
      <c r="E307"/>
      <c r="F307"/>
      <c r="G307"/>
      <c r="H307"/>
      <c r="I307"/>
      <c r="J307"/>
      <c r="K307"/>
      <c r="L307"/>
      <c r="M307"/>
      <c r="N307"/>
      <c r="O307"/>
      <c r="P307"/>
      <c r="Q307"/>
      <c r="R307"/>
      <c r="S307"/>
    </row>
    <row r="308" spans="1:19">
      <c r="A308"/>
      <c r="B308"/>
      <c r="C308"/>
      <c r="D308"/>
      <c r="E308"/>
      <c r="F308"/>
      <c r="G308"/>
      <c r="H308"/>
      <c r="I308"/>
      <c r="J308"/>
      <c r="K308"/>
      <c r="L308"/>
      <c r="M308"/>
      <c r="N308"/>
      <c r="O308"/>
      <c r="P308"/>
      <c r="Q308"/>
      <c r="R308"/>
      <c r="S308"/>
    </row>
    <row r="309" spans="1:19">
      <c r="A309"/>
      <c r="B309"/>
      <c r="C309"/>
      <c r="D309"/>
      <c r="E309"/>
      <c r="F309"/>
      <c r="G309"/>
      <c r="H309"/>
      <c r="I309"/>
      <c r="J309"/>
      <c r="K309"/>
      <c r="L309"/>
      <c r="M309"/>
      <c r="N309"/>
      <c r="O309"/>
      <c r="P309"/>
      <c r="Q309"/>
      <c r="R309"/>
      <c r="S309"/>
    </row>
    <row r="310" spans="1:19">
      <c r="A310"/>
      <c r="B310"/>
      <c r="C310"/>
      <c r="D310"/>
      <c r="E310"/>
      <c r="F310"/>
      <c r="G310"/>
      <c r="H310"/>
      <c r="I310"/>
      <c r="J310"/>
      <c r="K310"/>
      <c r="L310"/>
      <c r="M310"/>
      <c r="N310"/>
      <c r="O310"/>
      <c r="P310"/>
      <c r="Q310"/>
      <c r="R310"/>
      <c r="S310"/>
    </row>
    <row r="311" spans="1:19">
      <c r="A311"/>
      <c r="B311"/>
      <c r="C311"/>
      <c r="D311"/>
      <c r="E311"/>
      <c r="F311"/>
      <c r="G311"/>
      <c r="H311"/>
      <c r="I311"/>
      <c r="J311"/>
      <c r="K311"/>
      <c r="L311"/>
      <c r="M311"/>
      <c r="N311"/>
      <c r="O311"/>
      <c r="P311"/>
      <c r="Q311"/>
      <c r="R311"/>
      <c r="S311"/>
    </row>
    <row r="312" spans="1:19">
      <c r="A312"/>
      <c r="B312"/>
      <c r="C312"/>
      <c r="D312"/>
      <c r="E312"/>
      <c r="F312"/>
      <c r="G312"/>
      <c r="H312"/>
      <c r="I312"/>
      <c r="J312"/>
      <c r="K312"/>
      <c r="L312"/>
      <c r="M312"/>
      <c r="N312"/>
      <c r="O312"/>
      <c r="P312"/>
      <c r="Q312"/>
      <c r="R312"/>
      <c r="S312"/>
    </row>
    <row r="313" spans="1:19">
      <c r="A313"/>
      <c r="B313"/>
      <c r="C313"/>
      <c r="D313"/>
      <c r="E313"/>
      <c r="F313"/>
      <c r="G313"/>
      <c r="H313"/>
      <c r="I313"/>
      <c r="J313"/>
      <c r="K313"/>
      <c r="L313"/>
      <c r="M313"/>
      <c r="N313"/>
      <c r="O313"/>
      <c r="P313"/>
      <c r="Q313"/>
      <c r="R313"/>
      <c r="S313"/>
    </row>
    <row r="314" spans="1:19">
      <c r="A314"/>
      <c r="B314"/>
      <c r="C314"/>
      <c r="D314"/>
      <c r="E314"/>
      <c r="F314"/>
      <c r="G314"/>
      <c r="H314"/>
      <c r="I314"/>
      <c r="J314"/>
      <c r="K314"/>
      <c r="L314"/>
      <c r="M314"/>
      <c r="N314"/>
      <c r="O314"/>
      <c r="P314"/>
      <c r="Q314"/>
      <c r="R314"/>
      <c r="S314"/>
    </row>
    <row r="315" spans="1:19">
      <c r="A315"/>
      <c r="B315"/>
      <c r="C315"/>
      <c r="D315"/>
      <c r="E315"/>
      <c r="F315"/>
      <c r="G315"/>
      <c r="H315"/>
      <c r="I315"/>
      <c r="J315"/>
      <c r="K315"/>
      <c r="L315"/>
      <c r="M315"/>
      <c r="N315"/>
      <c r="O315"/>
      <c r="P315"/>
      <c r="Q315"/>
      <c r="R315"/>
      <c r="S315"/>
    </row>
    <row r="316" spans="1:19">
      <c r="A316"/>
      <c r="B316"/>
      <c r="C316"/>
      <c r="D316"/>
      <c r="E316"/>
      <c r="F316"/>
      <c r="G316"/>
      <c r="H316"/>
      <c r="I316"/>
      <c r="J316"/>
      <c r="K316"/>
      <c r="L316"/>
      <c r="M316"/>
      <c r="N316"/>
      <c r="O316"/>
      <c r="P316"/>
      <c r="Q316"/>
      <c r="R316"/>
      <c r="S316"/>
    </row>
    <row r="317" spans="1:19">
      <c r="A317"/>
      <c r="B317"/>
      <c r="C317"/>
      <c r="D317"/>
      <c r="E317"/>
      <c r="F317"/>
      <c r="G317"/>
      <c r="H317"/>
      <c r="I317"/>
      <c r="J317"/>
      <c r="K317"/>
      <c r="L317"/>
      <c r="M317"/>
      <c r="N317"/>
      <c r="O317"/>
      <c r="P317"/>
      <c r="Q317"/>
      <c r="R317"/>
      <c r="S317"/>
    </row>
    <row r="318" spans="1:19">
      <c r="A318"/>
      <c r="B318"/>
      <c r="C318"/>
      <c r="D318"/>
      <c r="E318"/>
      <c r="F318"/>
      <c r="G318"/>
      <c r="H318"/>
      <c r="I318"/>
      <c r="J318"/>
      <c r="K318"/>
      <c r="L318"/>
      <c r="M318"/>
      <c r="N318"/>
      <c r="O318"/>
      <c r="P318"/>
      <c r="Q318"/>
      <c r="R318"/>
      <c r="S318"/>
    </row>
    <row r="319" spans="1:19">
      <c r="A319"/>
      <c r="B319"/>
      <c r="C319"/>
      <c r="D319"/>
      <c r="E319"/>
      <c r="F319"/>
      <c r="G319"/>
      <c r="H319"/>
      <c r="I319"/>
      <c r="J319"/>
      <c r="K319"/>
      <c r="L319"/>
      <c r="M319"/>
      <c r="N319"/>
      <c r="O319"/>
      <c r="P319"/>
      <c r="Q319"/>
      <c r="R319"/>
      <c r="S319"/>
    </row>
    <row r="320" spans="1:19">
      <c r="A320"/>
      <c r="B320"/>
      <c r="C320"/>
      <c r="D320"/>
      <c r="E320"/>
      <c r="F320"/>
      <c r="G320"/>
      <c r="H320"/>
      <c r="I320"/>
      <c r="J320"/>
      <c r="K320"/>
      <c r="L320"/>
      <c r="M320"/>
      <c r="N320"/>
      <c r="O320"/>
      <c r="P320"/>
      <c r="Q320"/>
      <c r="R320"/>
      <c r="S320"/>
    </row>
    <row r="321" spans="1:19">
      <c r="A321"/>
      <c r="B321"/>
      <c r="C321"/>
      <c r="D321"/>
      <c r="E321"/>
      <c r="F321"/>
      <c r="G321"/>
      <c r="H321"/>
      <c r="I321"/>
      <c r="J321"/>
      <c r="K321"/>
      <c r="L321"/>
      <c r="M321"/>
      <c r="N321"/>
      <c r="O321"/>
      <c r="P321"/>
      <c r="Q321"/>
      <c r="R321"/>
      <c r="S321"/>
    </row>
    <row r="322" spans="1:19">
      <c r="A322"/>
      <c r="B322"/>
      <c r="C322"/>
      <c r="D322"/>
      <c r="E322"/>
      <c r="F322"/>
      <c r="G322"/>
      <c r="H322"/>
      <c r="I322"/>
      <c r="J322"/>
      <c r="K322"/>
      <c r="L322"/>
      <c r="M322"/>
      <c r="N322"/>
      <c r="O322"/>
      <c r="P322"/>
      <c r="Q322"/>
      <c r="R322"/>
      <c r="S322"/>
    </row>
    <row r="323" spans="1:19">
      <c r="A323"/>
      <c r="B323"/>
      <c r="C323"/>
      <c r="D323"/>
      <c r="E323"/>
      <c r="F323"/>
      <c r="G323"/>
      <c r="H323"/>
      <c r="I323"/>
      <c r="J323"/>
      <c r="K323"/>
      <c r="L323"/>
      <c r="M323"/>
      <c r="N323"/>
      <c r="O323"/>
      <c r="P323"/>
      <c r="Q323"/>
      <c r="R323"/>
      <c r="S323"/>
    </row>
    <row r="324" spans="1:19">
      <c r="A324"/>
      <c r="B324"/>
      <c r="C324"/>
      <c r="D324"/>
      <c r="E324"/>
      <c r="F324"/>
      <c r="G324"/>
      <c r="H324"/>
      <c r="I324"/>
      <c r="J324"/>
      <c r="K324"/>
      <c r="L324"/>
      <c r="M324"/>
      <c r="N324"/>
      <c r="O324"/>
      <c r="P324"/>
      <c r="Q324"/>
      <c r="R324"/>
      <c r="S324"/>
    </row>
    <row r="325" spans="1:19">
      <c r="A325"/>
      <c r="B325"/>
      <c r="C325"/>
      <c r="D325"/>
      <c r="E325"/>
      <c r="F325"/>
      <c r="G325"/>
      <c r="H325"/>
      <c r="I325"/>
      <c r="J325"/>
      <c r="K325"/>
      <c r="L325"/>
      <c r="M325"/>
      <c r="N325"/>
      <c r="O325"/>
      <c r="P325"/>
      <c r="Q325"/>
      <c r="R325"/>
      <c r="S325"/>
    </row>
    <row r="326" spans="1:19">
      <c r="A326"/>
      <c r="B326"/>
      <c r="C326"/>
      <c r="D326"/>
      <c r="E326"/>
      <c r="F326"/>
      <c r="G326"/>
      <c r="H326"/>
      <c r="I326"/>
      <c r="J326"/>
      <c r="K326"/>
      <c r="L326"/>
      <c r="M326"/>
      <c r="N326"/>
      <c r="O326"/>
      <c r="P326"/>
      <c r="Q326"/>
      <c r="R326"/>
      <c r="S326"/>
    </row>
    <row r="327" spans="1:19">
      <c r="A327"/>
      <c r="B327"/>
      <c r="C327"/>
      <c r="D327"/>
      <c r="E327"/>
      <c r="F327"/>
      <c r="G327"/>
      <c r="H327"/>
      <c r="I327"/>
      <c r="J327"/>
      <c r="K327"/>
      <c r="L327"/>
      <c r="M327"/>
      <c r="N327"/>
      <c r="O327"/>
      <c r="P327"/>
      <c r="Q327"/>
      <c r="R327"/>
      <c r="S327"/>
    </row>
    <row r="328" spans="1:19">
      <c r="A328"/>
      <c r="B328"/>
      <c r="C328"/>
      <c r="D328"/>
      <c r="E328"/>
      <c r="F328"/>
      <c r="G328"/>
      <c r="H328"/>
      <c r="I328"/>
      <c r="J328"/>
      <c r="K328"/>
      <c r="L328"/>
      <c r="M328"/>
      <c r="N328"/>
      <c r="O328"/>
      <c r="P328"/>
      <c r="Q328"/>
      <c r="R328"/>
      <c r="S328"/>
    </row>
    <row r="329" spans="1:19">
      <c r="A329"/>
      <c r="B329"/>
      <c r="C329"/>
      <c r="D329"/>
      <c r="E329"/>
      <c r="F329"/>
      <c r="G329"/>
      <c r="H329"/>
      <c r="I329"/>
      <c r="J329"/>
      <c r="K329"/>
      <c r="L329"/>
      <c r="M329"/>
      <c r="N329"/>
      <c r="O329"/>
      <c r="P329"/>
      <c r="Q329"/>
      <c r="R329"/>
      <c r="S329"/>
    </row>
    <row r="330" spans="1:19">
      <c r="A330"/>
      <c r="B330"/>
      <c r="C330"/>
      <c r="D330"/>
      <c r="E330"/>
      <c r="F330"/>
      <c r="G330"/>
      <c r="H330"/>
      <c r="I330"/>
      <c r="J330"/>
      <c r="K330"/>
      <c r="L330"/>
      <c r="M330"/>
      <c r="N330"/>
      <c r="O330"/>
      <c r="P330"/>
      <c r="Q330"/>
      <c r="R330"/>
      <c r="S330"/>
    </row>
    <row r="331" spans="1:19">
      <c r="A331"/>
      <c r="B331"/>
      <c r="C331"/>
      <c r="D331"/>
      <c r="E331"/>
      <c r="F331"/>
      <c r="G331"/>
      <c r="H331"/>
      <c r="I331"/>
      <c r="J331"/>
      <c r="K331"/>
      <c r="L331"/>
      <c r="M331"/>
      <c r="N331"/>
      <c r="O331"/>
      <c r="P331"/>
      <c r="Q331"/>
      <c r="R331"/>
      <c r="S331"/>
    </row>
    <row r="332" spans="1:19">
      <c r="A332"/>
      <c r="B332"/>
      <c r="C332"/>
      <c r="D332"/>
      <c r="E332"/>
      <c r="F332"/>
      <c r="G332"/>
      <c r="H332"/>
      <c r="I332"/>
      <c r="J332"/>
      <c r="K332"/>
      <c r="L332"/>
      <c r="M332"/>
      <c r="N332"/>
      <c r="O332"/>
      <c r="P332"/>
      <c r="Q332"/>
      <c r="R332"/>
      <c r="S332"/>
    </row>
    <row r="333" spans="1:19">
      <c r="A333"/>
      <c r="B333"/>
      <c r="C333"/>
      <c r="D333"/>
      <c r="E333"/>
      <c r="F333"/>
      <c r="G333"/>
      <c r="H333"/>
      <c r="I333"/>
      <c r="J333"/>
      <c r="K333"/>
      <c r="L333"/>
      <c r="M333"/>
      <c r="N333"/>
      <c r="O333"/>
      <c r="P333"/>
      <c r="Q333"/>
      <c r="R333"/>
      <c r="S333"/>
    </row>
    <row r="334" spans="1:19">
      <c r="A334"/>
      <c r="B334"/>
      <c r="C334"/>
      <c r="D334"/>
      <c r="E334"/>
      <c r="F334"/>
      <c r="G334"/>
      <c r="H334"/>
      <c r="I334"/>
      <c r="J334"/>
      <c r="K334"/>
      <c r="L334"/>
      <c r="M334"/>
      <c r="N334"/>
      <c r="O334"/>
      <c r="P334"/>
      <c r="Q334"/>
      <c r="R334"/>
      <c r="S334"/>
    </row>
    <row r="335" spans="1:19">
      <c r="A335"/>
      <c r="B335"/>
      <c r="C335"/>
      <c r="D335"/>
      <c r="E335"/>
      <c r="F335"/>
      <c r="G335"/>
      <c r="H335"/>
      <c r="I335"/>
      <c r="J335"/>
      <c r="K335"/>
      <c r="L335"/>
      <c r="M335"/>
      <c r="N335"/>
      <c r="O335"/>
      <c r="P335"/>
      <c r="Q335"/>
      <c r="R335"/>
      <c r="S335"/>
    </row>
    <row r="336" spans="1:19">
      <c r="A336"/>
      <c r="B336"/>
      <c r="C336"/>
      <c r="D336"/>
      <c r="E336"/>
      <c r="F336"/>
      <c r="G336"/>
      <c r="H336"/>
      <c r="I336"/>
      <c r="J336"/>
      <c r="K336"/>
      <c r="L336"/>
      <c r="M336"/>
      <c r="N336"/>
      <c r="O336"/>
      <c r="P336"/>
      <c r="Q336"/>
      <c r="R336"/>
      <c r="S336"/>
    </row>
    <row r="337" spans="1:19">
      <c r="A337"/>
      <c r="B337"/>
      <c r="C337"/>
      <c r="D337"/>
      <c r="E337"/>
      <c r="F337"/>
      <c r="G337"/>
      <c r="H337"/>
      <c r="I337"/>
      <c r="J337"/>
      <c r="K337"/>
      <c r="L337"/>
      <c r="M337"/>
      <c r="N337"/>
      <c r="O337"/>
      <c r="P337"/>
      <c r="Q337"/>
      <c r="R337"/>
      <c r="S337"/>
    </row>
    <row r="338" spans="1:19">
      <c r="A338"/>
      <c r="B338"/>
      <c r="C338"/>
      <c r="D338"/>
      <c r="E338"/>
      <c r="F338"/>
      <c r="G338"/>
      <c r="H338"/>
      <c r="I338"/>
      <c r="J338"/>
      <c r="K338"/>
      <c r="L338"/>
      <c r="M338"/>
      <c r="N338"/>
      <c r="O338"/>
      <c r="P338"/>
      <c r="Q338"/>
      <c r="R338"/>
      <c r="S338"/>
    </row>
    <row r="339" spans="1:19">
      <c r="A339"/>
      <c r="B339"/>
      <c r="C339"/>
      <c r="D339"/>
      <c r="E339"/>
      <c r="F339"/>
      <c r="G339"/>
      <c r="H339"/>
      <c r="I339"/>
      <c r="J339"/>
      <c r="K339"/>
      <c r="L339"/>
      <c r="M339"/>
      <c r="N339"/>
      <c r="O339"/>
      <c r="P339"/>
      <c r="Q339"/>
      <c r="R339"/>
      <c r="S339"/>
    </row>
    <row r="340" spans="1:19">
      <c r="A340"/>
      <c r="B340"/>
      <c r="C340"/>
      <c r="D340"/>
      <c r="E340"/>
      <c r="F340"/>
      <c r="G340"/>
      <c r="H340"/>
      <c r="I340"/>
      <c r="J340"/>
      <c r="K340"/>
      <c r="L340"/>
      <c r="M340"/>
      <c r="N340"/>
      <c r="O340"/>
      <c r="P340"/>
      <c r="Q340"/>
      <c r="R340"/>
      <c r="S340"/>
    </row>
    <row r="341" spans="1:19">
      <c r="A341"/>
      <c r="B341"/>
      <c r="C341"/>
      <c r="D341"/>
      <c r="E341"/>
      <c r="F341"/>
      <c r="G341"/>
      <c r="H341"/>
      <c r="I341"/>
      <c r="J341"/>
      <c r="K341"/>
      <c r="L341"/>
      <c r="M341"/>
      <c r="N341"/>
      <c r="O341"/>
      <c r="P341"/>
      <c r="Q341"/>
      <c r="R341"/>
      <c r="S341"/>
    </row>
    <row r="342" spans="1:19">
      <c r="A342"/>
      <c r="B342"/>
      <c r="C342"/>
      <c r="D342"/>
      <c r="E342"/>
      <c r="F342"/>
      <c r="G342"/>
      <c r="H342"/>
      <c r="I342"/>
      <c r="J342"/>
      <c r="K342"/>
      <c r="L342"/>
      <c r="M342"/>
      <c r="N342"/>
      <c r="O342"/>
      <c r="P342"/>
      <c r="Q342"/>
      <c r="R342"/>
      <c r="S342"/>
    </row>
    <row r="343" spans="1:19">
      <c r="A343"/>
      <c r="B343"/>
      <c r="C343"/>
      <c r="D343"/>
      <c r="E343"/>
      <c r="F343"/>
      <c r="G343"/>
      <c r="H343"/>
      <c r="I343"/>
      <c r="J343"/>
      <c r="K343"/>
      <c r="L343"/>
      <c r="M343"/>
      <c r="N343"/>
      <c r="O343"/>
      <c r="P343"/>
      <c r="Q343"/>
      <c r="R343"/>
      <c r="S343"/>
    </row>
    <row r="344" spans="1:19">
      <c r="A344"/>
      <c r="B344"/>
      <c r="C344"/>
      <c r="D344"/>
      <c r="E344"/>
      <c r="F344"/>
      <c r="G344"/>
      <c r="H344"/>
      <c r="I344"/>
      <c r="J344"/>
      <c r="K344"/>
      <c r="L344"/>
      <c r="M344"/>
      <c r="N344"/>
      <c r="O344"/>
      <c r="P344"/>
      <c r="Q344"/>
      <c r="R344"/>
      <c r="S344"/>
    </row>
    <row r="345" spans="1:19">
      <c r="A345"/>
      <c r="B345"/>
      <c r="C345"/>
      <c r="D345"/>
      <c r="E345"/>
      <c r="F345"/>
      <c r="G345"/>
      <c r="H345"/>
      <c r="I345"/>
      <c r="J345"/>
      <c r="K345"/>
      <c r="L345"/>
      <c r="M345"/>
      <c r="N345"/>
      <c r="O345"/>
      <c r="P345"/>
      <c r="Q345"/>
      <c r="R345"/>
      <c r="S345"/>
    </row>
    <row r="346" spans="1:19">
      <c r="A346"/>
      <c r="B346"/>
      <c r="C346"/>
      <c r="D346"/>
      <c r="E346"/>
      <c r="F346"/>
      <c r="G346"/>
      <c r="H346"/>
      <c r="I346"/>
      <c r="J346"/>
      <c r="K346"/>
      <c r="L346"/>
      <c r="M346"/>
      <c r="N346"/>
      <c r="O346"/>
      <c r="P346"/>
      <c r="Q346"/>
      <c r="R346"/>
      <c r="S346"/>
    </row>
    <row r="347" spans="1:19">
      <c r="A347"/>
      <c r="B347"/>
      <c r="C347"/>
      <c r="D347"/>
      <c r="E347"/>
      <c r="F347"/>
      <c r="G347"/>
      <c r="H347"/>
      <c r="I347"/>
      <c r="J347"/>
      <c r="K347"/>
      <c r="L347"/>
      <c r="M347"/>
      <c r="N347"/>
      <c r="O347"/>
      <c r="P347"/>
      <c r="Q347"/>
      <c r="R347"/>
      <c r="S347"/>
    </row>
    <row r="348" spans="1:19">
      <c r="A348"/>
      <c r="B348"/>
      <c r="C348"/>
      <c r="D348"/>
      <c r="E348"/>
      <c r="F348"/>
      <c r="G348"/>
      <c r="H348"/>
      <c r="I348"/>
      <c r="J348"/>
      <c r="K348"/>
      <c r="L348"/>
      <c r="M348"/>
      <c r="N348"/>
      <c r="O348"/>
      <c r="P348"/>
      <c r="Q348"/>
      <c r="R348"/>
      <c r="S348"/>
    </row>
    <row r="349" spans="1:19">
      <c r="A349"/>
      <c r="B349"/>
      <c r="C349"/>
      <c r="D349"/>
      <c r="E349"/>
      <c r="F349"/>
      <c r="G349"/>
      <c r="H349"/>
      <c r="I349"/>
      <c r="J349"/>
      <c r="K349"/>
      <c r="L349"/>
      <c r="M349"/>
      <c r="N349"/>
      <c r="O349"/>
      <c r="P349"/>
      <c r="Q349"/>
      <c r="R349"/>
      <c r="S349"/>
    </row>
    <row r="350" spans="1:19">
      <c r="A350"/>
      <c r="B350"/>
      <c r="C350"/>
      <c r="D350"/>
      <c r="E350"/>
      <c r="F350"/>
      <c r="G350"/>
      <c r="H350"/>
      <c r="I350"/>
      <c r="J350"/>
      <c r="K350"/>
      <c r="L350"/>
      <c r="M350"/>
      <c r="N350"/>
      <c r="O350"/>
      <c r="P350"/>
      <c r="Q350"/>
      <c r="R350"/>
      <c r="S350"/>
    </row>
    <row r="351" spans="1:19">
      <c r="A351"/>
      <c r="B351"/>
      <c r="C351"/>
      <c r="D351"/>
      <c r="E351"/>
      <c r="F351"/>
      <c r="G351"/>
      <c r="H351"/>
      <c r="I351"/>
      <c r="J351"/>
      <c r="K351"/>
      <c r="L351"/>
      <c r="M351"/>
      <c r="N351"/>
      <c r="O351"/>
      <c r="P351"/>
      <c r="Q351"/>
      <c r="R351"/>
      <c r="S351"/>
    </row>
    <row r="352" spans="1:19">
      <c r="A352"/>
      <c r="B352"/>
      <c r="C352"/>
      <c r="D352"/>
      <c r="E352"/>
      <c r="F352"/>
      <c r="G352"/>
      <c r="H352"/>
      <c r="I352"/>
      <c r="J352"/>
      <c r="K352"/>
      <c r="L352"/>
      <c r="M352"/>
      <c r="N352"/>
      <c r="O352"/>
      <c r="P352"/>
      <c r="Q352"/>
      <c r="R352"/>
      <c r="S352"/>
    </row>
    <row r="353" spans="1:19">
      <c r="A353"/>
      <c r="B353"/>
      <c r="C353"/>
      <c r="D353"/>
      <c r="E353"/>
      <c r="F353"/>
      <c r="G353"/>
      <c r="H353"/>
      <c r="I353"/>
      <c r="J353"/>
      <c r="K353"/>
      <c r="L353"/>
      <c r="M353"/>
      <c r="N353"/>
      <c r="O353"/>
      <c r="P353"/>
      <c r="Q353"/>
      <c r="R353"/>
      <c r="S353"/>
    </row>
    <row r="354" spans="1:19">
      <c r="A354"/>
      <c r="B354"/>
      <c r="C354"/>
      <c r="D354"/>
      <c r="E354"/>
      <c r="F354"/>
      <c r="G354"/>
      <c r="H354"/>
      <c r="I354"/>
      <c r="J354"/>
      <c r="K354"/>
      <c r="L354"/>
      <c r="M354"/>
      <c r="N354"/>
      <c r="O354"/>
      <c r="P354"/>
      <c r="Q354"/>
      <c r="R354"/>
      <c r="S354"/>
    </row>
    <row r="355" spans="1:19">
      <c r="A355"/>
      <c r="B355"/>
      <c r="C355"/>
      <c r="D355"/>
      <c r="E355"/>
      <c r="F355"/>
      <c r="G355"/>
      <c r="H355"/>
      <c r="I355"/>
      <c r="J355"/>
      <c r="K355"/>
      <c r="L355"/>
      <c r="M355"/>
      <c r="N355"/>
      <c r="O355"/>
      <c r="P355"/>
      <c r="Q355"/>
      <c r="R355"/>
      <c r="S355"/>
    </row>
    <row r="356" spans="1:19">
      <c r="A356"/>
      <c r="B356"/>
      <c r="C356"/>
      <c r="D356"/>
      <c r="E356"/>
      <c r="F356"/>
      <c r="G356"/>
      <c r="H356"/>
      <c r="I356"/>
      <c r="J356"/>
      <c r="K356"/>
      <c r="L356"/>
      <c r="M356"/>
      <c r="N356"/>
      <c r="O356"/>
      <c r="P356"/>
      <c r="Q356"/>
      <c r="R356"/>
      <c r="S356"/>
    </row>
    <row r="357" spans="1:19">
      <c r="A357"/>
      <c r="B357"/>
      <c r="C357"/>
      <c r="D357"/>
      <c r="E357"/>
      <c r="F357"/>
      <c r="G357"/>
      <c r="H357"/>
      <c r="I357"/>
      <c r="J357"/>
      <c r="K357"/>
      <c r="L357"/>
      <c r="M357"/>
      <c r="N357"/>
      <c r="O357"/>
      <c r="P357"/>
      <c r="Q357"/>
      <c r="R357"/>
      <c r="S357"/>
    </row>
    <row r="358" spans="1:19">
      <c r="A358"/>
      <c r="B358"/>
      <c r="C358"/>
      <c r="D358"/>
      <c r="E358"/>
      <c r="F358"/>
      <c r="G358"/>
      <c r="H358"/>
      <c r="I358"/>
      <c r="J358"/>
      <c r="K358"/>
      <c r="L358"/>
      <c r="M358"/>
      <c r="N358"/>
      <c r="O358"/>
      <c r="P358"/>
      <c r="Q358"/>
      <c r="R358"/>
      <c r="S358"/>
    </row>
    <row r="359" spans="1:19">
      <c r="A359"/>
      <c r="B359"/>
      <c r="C359"/>
      <c r="D359"/>
      <c r="E359"/>
      <c r="F359"/>
      <c r="G359"/>
      <c r="H359"/>
      <c r="I359"/>
      <c r="J359"/>
      <c r="K359"/>
      <c r="L359"/>
      <c r="M359"/>
      <c r="N359"/>
      <c r="O359"/>
      <c r="P359"/>
      <c r="Q359"/>
      <c r="R359"/>
      <c r="S359"/>
    </row>
    <row r="360" spans="1:19">
      <c r="A360"/>
      <c r="B360"/>
      <c r="C360"/>
      <c r="D360"/>
      <c r="E360"/>
      <c r="F360"/>
      <c r="G360"/>
      <c r="H360"/>
      <c r="I360"/>
      <c r="J360"/>
      <c r="K360"/>
      <c r="L360"/>
      <c r="M360"/>
      <c r="N360"/>
      <c r="O360"/>
      <c r="P360"/>
      <c r="Q360"/>
      <c r="R360"/>
      <c r="S360"/>
    </row>
    <row r="361" spans="1:19">
      <c r="A361"/>
      <c r="B361"/>
      <c r="C361"/>
      <c r="D361"/>
      <c r="E361"/>
      <c r="F361"/>
      <c r="G361"/>
      <c r="H361"/>
      <c r="I361"/>
      <c r="J361"/>
      <c r="K361"/>
      <c r="L361"/>
      <c r="M361"/>
      <c r="N361"/>
      <c r="O361"/>
      <c r="P361"/>
      <c r="Q361"/>
      <c r="R361"/>
      <c r="S361"/>
    </row>
    <row r="362" spans="1:19">
      <c r="A362"/>
      <c r="B362"/>
      <c r="C362"/>
      <c r="D362"/>
      <c r="E362"/>
      <c r="F362"/>
      <c r="G362"/>
      <c r="H362"/>
      <c r="I362"/>
      <c r="J362"/>
      <c r="K362"/>
      <c r="L362"/>
      <c r="M362"/>
      <c r="N362"/>
      <c r="O362"/>
      <c r="P362"/>
      <c r="Q362"/>
      <c r="R362"/>
      <c r="S362"/>
    </row>
    <row r="363" spans="1:19">
      <c r="A363"/>
      <c r="B363"/>
      <c r="C363"/>
      <c r="D363"/>
      <c r="E363"/>
      <c r="F363"/>
      <c r="G363"/>
      <c r="H363"/>
      <c r="I363"/>
      <c r="J363"/>
      <c r="K363"/>
      <c r="L363"/>
      <c r="M363"/>
      <c r="N363"/>
      <c r="O363"/>
      <c r="P363"/>
      <c r="Q363"/>
      <c r="R363"/>
      <c r="S363"/>
    </row>
    <row r="364" spans="1:19">
      <c r="A364"/>
      <c r="B364"/>
      <c r="C364"/>
      <c r="D364"/>
      <c r="E364"/>
      <c r="F364"/>
      <c r="G364"/>
      <c r="H364"/>
      <c r="I364"/>
      <c r="J364"/>
      <c r="K364"/>
      <c r="L364"/>
      <c r="M364"/>
      <c r="N364"/>
      <c r="O364"/>
      <c r="P364"/>
      <c r="Q364"/>
      <c r="R364"/>
      <c r="S364"/>
    </row>
    <row r="365" spans="1:19">
      <c r="A365"/>
      <c r="B365"/>
      <c r="C365"/>
      <c r="D365"/>
      <c r="E365"/>
      <c r="F365"/>
      <c r="G365"/>
      <c r="H365"/>
      <c r="I365"/>
      <c r="J365"/>
      <c r="K365"/>
      <c r="L365"/>
      <c r="M365"/>
      <c r="N365"/>
      <c r="O365"/>
      <c r="P365"/>
      <c r="Q365"/>
      <c r="R365"/>
      <c r="S365"/>
    </row>
    <row r="366" spans="1:19">
      <c r="A366"/>
      <c r="B366"/>
      <c r="C366"/>
      <c r="D366"/>
      <c r="E366"/>
      <c r="F366"/>
      <c r="G366"/>
      <c r="H366"/>
      <c r="I366"/>
      <c r="J366"/>
      <c r="K366"/>
      <c r="L366"/>
      <c r="M366"/>
      <c r="N366"/>
      <c r="O366"/>
      <c r="P366"/>
      <c r="Q366"/>
      <c r="R366"/>
      <c r="S366"/>
    </row>
    <row r="367" spans="1:19">
      <c r="A367"/>
      <c r="B367"/>
      <c r="C367"/>
      <c r="D367"/>
      <c r="E367"/>
      <c r="F367"/>
      <c r="G367"/>
      <c r="H367"/>
      <c r="I367"/>
      <c r="J367"/>
      <c r="K367"/>
      <c r="L367"/>
      <c r="M367"/>
      <c r="N367"/>
      <c r="O367"/>
      <c r="P367"/>
      <c r="Q367"/>
      <c r="R367"/>
      <c r="S367"/>
    </row>
    <row r="368" spans="1:19">
      <c r="A368"/>
      <c r="B368"/>
      <c r="C368"/>
      <c r="D368"/>
      <c r="E368"/>
      <c r="F368"/>
      <c r="G368"/>
      <c r="H368"/>
      <c r="I368"/>
      <c r="J368"/>
      <c r="K368"/>
      <c r="L368"/>
      <c r="M368"/>
      <c r="N368"/>
      <c r="O368"/>
      <c r="P368"/>
      <c r="Q368"/>
      <c r="R368"/>
      <c r="S368"/>
    </row>
    <row r="369" spans="1:19">
      <c r="A369"/>
      <c r="B369"/>
      <c r="C369"/>
      <c r="D369"/>
      <c r="E369"/>
      <c r="F369"/>
      <c r="G369"/>
      <c r="H369"/>
      <c r="I369"/>
      <c r="J369"/>
      <c r="K369"/>
      <c r="L369"/>
      <c r="M369"/>
      <c r="N369"/>
      <c r="O369"/>
      <c r="P369"/>
      <c r="Q369"/>
      <c r="R369"/>
      <c r="S369"/>
    </row>
    <row r="370" spans="1:19">
      <c r="A370"/>
      <c r="B370"/>
      <c r="C370"/>
      <c r="D370"/>
      <c r="E370"/>
      <c r="F370"/>
      <c r="G370"/>
      <c r="H370"/>
      <c r="I370"/>
      <c r="J370"/>
      <c r="K370"/>
      <c r="L370"/>
      <c r="M370"/>
      <c r="N370"/>
      <c r="O370"/>
      <c r="P370"/>
      <c r="Q370"/>
      <c r="R370"/>
      <c r="S370"/>
    </row>
    <row r="371" spans="1:19">
      <c r="A371"/>
      <c r="B371"/>
      <c r="C371"/>
      <c r="D371"/>
      <c r="E371"/>
      <c r="F371"/>
      <c r="G371"/>
      <c r="H371"/>
      <c r="I371"/>
      <c r="J371"/>
      <c r="K371"/>
      <c r="L371"/>
      <c r="M371"/>
      <c r="N371"/>
      <c r="O371"/>
      <c r="P371"/>
      <c r="Q371"/>
      <c r="R371"/>
      <c r="S371"/>
    </row>
    <row r="372" spans="1:19">
      <c r="A372"/>
      <c r="B372"/>
      <c r="C372"/>
      <c r="D372"/>
      <c r="E372"/>
      <c r="F372"/>
      <c r="G372"/>
      <c r="H372"/>
      <c r="I372"/>
      <c r="J372"/>
      <c r="K372"/>
      <c r="L372"/>
      <c r="M372"/>
      <c r="N372"/>
      <c r="O372"/>
      <c r="P372"/>
      <c r="Q372"/>
      <c r="R372"/>
      <c r="S372"/>
    </row>
    <row r="373" spans="1:19">
      <c r="A373"/>
      <c r="B373"/>
      <c r="C373"/>
      <c r="D373"/>
      <c r="E373"/>
      <c r="F373"/>
      <c r="G373"/>
      <c r="H373"/>
      <c r="I373"/>
      <c r="J373"/>
      <c r="K373"/>
      <c r="L373"/>
      <c r="M373"/>
      <c r="N373"/>
      <c r="O373"/>
      <c r="P373"/>
      <c r="Q373"/>
      <c r="R373"/>
      <c r="S373"/>
    </row>
    <row r="374" spans="1:19">
      <c r="A374"/>
      <c r="B374"/>
      <c r="C374"/>
      <c r="D374"/>
      <c r="E374"/>
      <c r="F374"/>
      <c r="G374"/>
      <c r="H374"/>
      <c r="I374"/>
      <c r="J374"/>
      <c r="K374"/>
      <c r="L374"/>
      <c r="M374"/>
      <c r="N374"/>
      <c r="O374"/>
      <c r="P374"/>
      <c r="Q374"/>
      <c r="R374"/>
      <c r="S374"/>
    </row>
    <row r="375" spans="1:19">
      <c r="A375"/>
      <c r="B375"/>
      <c r="C375"/>
      <c r="D375"/>
      <c r="E375"/>
      <c r="F375"/>
      <c r="G375"/>
      <c r="H375"/>
      <c r="I375"/>
      <c r="J375"/>
      <c r="K375"/>
      <c r="L375"/>
      <c r="M375"/>
      <c r="N375"/>
      <c r="O375"/>
      <c r="P375"/>
      <c r="Q375"/>
      <c r="R375"/>
      <c r="S375"/>
    </row>
    <row r="376" spans="1:19">
      <c r="A376"/>
      <c r="B376"/>
      <c r="C376"/>
      <c r="D376"/>
      <c r="E376"/>
      <c r="F376"/>
      <c r="G376"/>
      <c r="H376"/>
      <c r="I376"/>
      <c r="J376"/>
      <c r="K376"/>
      <c r="L376"/>
      <c r="M376"/>
      <c r="N376"/>
      <c r="O376"/>
      <c r="P376"/>
      <c r="Q376"/>
      <c r="R376"/>
      <c r="S376"/>
    </row>
    <row r="377" spans="1:19">
      <c r="A377"/>
      <c r="B377"/>
      <c r="C377"/>
      <c r="D377"/>
      <c r="E377"/>
      <c r="F377"/>
      <c r="G377"/>
      <c r="H377"/>
      <c r="I377"/>
      <c r="J377"/>
      <c r="K377"/>
      <c r="L377"/>
      <c r="M377"/>
      <c r="N377"/>
      <c r="O377"/>
      <c r="P377"/>
      <c r="Q377"/>
      <c r="R377"/>
      <c r="S377"/>
    </row>
    <row r="378" spans="1:19">
      <c r="A378"/>
      <c r="B378"/>
      <c r="C378"/>
      <c r="D378"/>
      <c r="E378"/>
      <c r="F378"/>
      <c r="G378"/>
      <c r="H378"/>
      <c r="I378"/>
      <c r="J378"/>
      <c r="K378"/>
      <c r="L378"/>
      <c r="M378"/>
      <c r="N378"/>
      <c r="O378"/>
      <c r="P378"/>
      <c r="Q378"/>
      <c r="R378"/>
      <c r="S378"/>
    </row>
    <row r="379" spans="1:19">
      <c r="A379"/>
      <c r="B379"/>
      <c r="C379"/>
      <c r="D379"/>
      <c r="E379"/>
      <c r="F379"/>
      <c r="G379"/>
      <c r="H379"/>
      <c r="I379"/>
      <c r="J379"/>
      <c r="K379"/>
      <c r="L379"/>
      <c r="M379"/>
      <c r="N379"/>
      <c r="O379"/>
      <c r="P379"/>
      <c r="Q379"/>
      <c r="R379"/>
      <c r="S379"/>
    </row>
    <row r="380" spans="1:19">
      <c r="A380"/>
      <c r="B380"/>
      <c r="C380"/>
      <c r="D380"/>
      <c r="E380"/>
      <c r="F380"/>
      <c r="G380"/>
      <c r="H380"/>
      <c r="I380"/>
      <c r="J380"/>
      <c r="K380"/>
      <c r="L380"/>
      <c r="M380"/>
      <c r="N380"/>
      <c r="O380"/>
      <c r="P380"/>
      <c r="Q380"/>
      <c r="R380"/>
      <c r="S380"/>
    </row>
    <row r="381" spans="1:19">
      <c r="A381"/>
      <c r="B381"/>
      <c r="C381"/>
      <c r="D381"/>
      <c r="E381"/>
      <c r="F381"/>
      <c r="G381"/>
      <c r="H381"/>
      <c r="I381"/>
      <c r="J381"/>
      <c r="K381"/>
      <c r="L381"/>
      <c r="M381"/>
      <c r="N381"/>
      <c r="O381"/>
      <c r="P381"/>
      <c r="Q381"/>
      <c r="R381"/>
      <c r="S381"/>
    </row>
    <row r="382" spans="1:19">
      <c r="A382"/>
      <c r="B382"/>
      <c r="C382"/>
      <c r="D382"/>
      <c r="E382"/>
      <c r="F382"/>
      <c r="G382"/>
      <c r="H382"/>
      <c r="I382"/>
      <c r="J382"/>
      <c r="K382"/>
      <c r="L382"/>
      <c r="M382"/>
      <c r="N382"/>
      <c r="O382"/>
      <c r="P382"/>
      <c r="Q382"/>
      <c r="R382"/>
      <c r="S382"/>
    </row>
    <row r="383" spans="1:19">
      <c r="A383"/>
      <c r="B383"/>
      <c r="C383"/>
      <c r="D383"/>
      <c r="E383"/>
      <c r="F383"/>
      <c r="G383"/>
      <c r="H383"/>
      <c r="I383"/>
      <c r="J383"/>
      <c r="K383"/>
      <c r="L383"/>
      <c r="M383"/>
      <c r="N383"/>
      <c r="O383"/>
      <c r="P383"/>
      <c r="Q383"/>
      <c r="R383"/>
      <c r="S383"/>
    </row>
    <row r="384" spans="1:19">
      <c r="A384"/>
      <c r="B384"/>
      <c r="C384"/>
      <c r="D384"/>
      <c r="E384"/>
      <c r="F384"/>
      <c r="G384"/>
      <c r="H384"/>
      <c r="I384"/>
      <c r="J384"/>
      <c r="K384"/>
      <c r="L384"/>
      <c r="M384"/>
      <c r="N384"/>
      <c r="O384"/>
      <c r="P384"/>
      <c r="Q384"/>
      <c r="R384"/>
      <c r="S384"/>
    </row>
    <row r="385" spans="1:19">
      <c r="A385"/>
      <c r="B385"/>
      <c r="C385"/>
      <c r="D385"/>
      <c r="E385"/>
      <c r="F385"/>
      <c r="G385"/>
      <c r="H385"/>
      <c r="I385"/>
      <c r="J385"/>
      <c r="K385"/>
      <c r="L385"/>
      <c r="M385"/>
      <c r="N385"/>
      <c r="O385"/>
      <c r="P385"/>
      <c r="Q385"/>
      <c r="R385"/>
      <c r="S385"/>
    </row>
    <row r="386" spans="1:19">
      <c r="A386"/>
      <c r="B386"/>
      <c r="C386"/>
      <c r="D386"/>
      <c r="E386"/>
      <c r="F386"/>
      <c r="G386"/>
      <c r="H386"/>
      <c r="I386"/>
      <c r="J386"/>
      <c r="K386"/>
      <c r="L386"/>
      <c r="M386"/>
      <c r="N386"/>
      <c r="O386"/>
      <c r="P386"/>
      <c r="Q386"/>
      <c r="R386"/>
      <c r="S386"/>
    </row>
    <row r="387" spans="1:19">
      <c r="A387"/>
      <c r="B387"/>
      <c r="C387"/>
      <c r="D387"/>
      <c r="E387"/>
      <c r="F387"/>
      <c r="G387"/>
      <c r="H387"/>
      <c r="I387"/>
      <c r="J387"/>
      <c r="K387"/>
      <c r="L387"/>
      <c r="M387"/>
      <c r="N387"/>
      <c r="O387"/>
      <c r="P387"/>
      <c r="Q387"/>
      <c r="R387"/>
      <c r="S387"/>
    </row>
    <row r="388" spans="1:19">
      <c r="A388"/>
      <c r="B388"/>
      <c r="C388"/>
      <c r="D388"/>
      <c r="E388"/>
      <c r="F388"/>
      <c r="G388"/>
      <c r="H388"/>
      <c r="I388"/>
      <c r="J388"/>
      <c r="K388"/>
      <c r="L388"/>
      <c r="M388"/>
      <c r="N388"/>
      <c r="O388"/>
      <c r="P388"/>
      <c r="Q388"/>
      <c r="R388"/>
      <c r="S388"/>
    </row>
    <row r="389" spans="1:19">
      <c r="A389"/>
      <c r="B389"/>
      <c r="C389"/>
      <c r="D389"/>
      <c r="E389"/>
      <c r="F389"/>
      <c r="G389"/>
      <c r="H389"/>
      <c r="I389"/>
      <c r="J389"/>
      <c r="K389"/>
      <c r="L389"/>
      <c r="M389"/>
      <c r="N389"/>
      <c r="O389"/>
      <c r="P389"/>
      <c r="Q389"/>
      <c r="R389"/>
      <c r="S389"/>
    </row>
    <row r="390" spans="1:19">
      <c r="A390"/>
      <c r="B390"/>
      <c r="C390"/>
      <c r="D390"/>
      <c r="E390"/>
      <c r="F390"/>
      <c r="G390"/>
      <c r="H390"/>
      <c r="I390"/>
      <c r="J390"/>
      <c r="K390"/>
      <c r="L390"/>
      <c r="M390"/>
      <c r="N390"/>
      <c r="O390"/>
      <c r="P390"/>
      <c r="Q390"/>
      <c r="R390"/>
      <c r="S390"/>
    </row>
    <row r="391" spans="1:19">
      <c r="A391"/>
      <c r="B391"/>
      <c r="C391"/>
      <c r="D391"/>
      <c r="E391"/>
      <c r="F391"/>
      <c r="G391"/>
      <c r="H391"/>
      <c r="I391"/>
      <c r="J391"/>
      <c r="K391"/>
      <c r="L391"/>
      <c r="M391"/>
      <c r="N391"/>
      <c r="O391"/>
      <c r="P391"/>
      <c r="Q391"/>
      <c r="R391"/>
      <c r="S391"/>
    </row>
    <row r="392" spans="1:19">
      <c r="A392"/>
      <c r="B392"/>
      <c r="C392"/>
      <c r="D392"/>
      <c r="E392"/>
      <c r="F392"/>
      <c r="G392"/>
      <c r="H392"/>
      <c r="I392"/>
      <c r="J392"/>
      <c r="K392"/>
      <c r="L392"/>
      <c r="M392"/>
      <c r="N392"/>
      <c r="O392"/>
      <c r="P392"/>
      <c r="Q392"/>
      <c r="R392"/>
      <c r="S392"/>
    </row>
    <row r="393" spans="1:19">
      <c r="A393"/>
      <c r="B393"/>
      <c r="C393"/>
      <c r="D393"/>
      <c r="E393"/>
      <c r="F393"/>
      <c r="G393"/>
      <c r="H393"/>
      <c r="I393"/>
      <c r="J393"/>
      <c r="K393"/>
      <c r="L393"/>
      <c r="M393"/>
      <c r="N393"/>
      <c r="O393"/>
      <c r="P393"/>
      <c r="Q393"/>
      <c r="R393"/>
      <c r="S393"/>
    </row>
    <row r="394" spans="1:19">
      <c r="A394"/>
      <c r="B394"/>
      <c r="C394"/>
      <c r="D394"/>
      <c r="E394"/>
      <c r="F394"/>
      <c r="G394"/>
      <c r="H394"/>
      <c r="I394"/>
      <c r="J394"/>
      <c r="K394"/>
      <c r="L394"/>
      <c r="M394"/>
      <c r="N394"/>
      <c r="O394"/>
      <c r="P394"/>
      <c r="Q394"/>
      <c r="R394"/>
      <c r="S394"/>
    </row>
    <row r="395" spans="1:19">
      <c r="A395"/>
      <c r="B395"/>
      <c r="C395"/>
      <c r="D395"/>
      <c r="E395"/>
      <c r="F395"/>
      <c r="G395"/>
      <c r="H395"/>
      <c r="I395"/>
      <c r="J395"/>
      <c r="K395"/>
      <c r="L395"/>
      <c r="M395"/>
      <c r="N395"/>
      <c r="O395"/>
      <c r="P395"/>
      <c r="Q395"/>
      <c r="R395"/>
      <c r="S395"/>
    </row>
    <row r="396" spans="1:19">
      <c r="A396"/>
      <c r="B396"/>
      <c r="C396"/>
      <c r="D396"/>
      <c r="E396"/>
      <c r="F396"/>
      <c r="G396"/>
      <c r="H396"/>
      <c r="I396"/>
      <c r="J396"/>
      <c r="K396"/>
      <c r="L396"/>
      <c r="M396"/>
      <c r="N396"/>
      <c r="O396"/>
      <c r="P396"/>
      <c r="Q396"/>
      <c r="R396"/>
      <c r="S396"/>
    </row>
    <row r="397" spans="1:19">
      <c r="A397"/>
      <c r="B397"/>
      <c r="C397"/>
      <c r="D397"/>
      <c r="E397"/>
      <c r="F397"/>
      <c r="G397"/>
      <c r="H397"/>
      <c r="I397"/>
      <c r="J397"/>
      <c r="K397"/>
      <c r="L397"/>
      <c r="M397"/>
      <c r="N397"/>
      <c r="O397"/>
      <c r="P397"/>
      <c r="Q397"/>
      <c r="R397"/>
      <c r="S397"/>
    </row>
    <row r="398" spans="1:19">
      <c r="A398"/>
      <c r="B398"/>
      <c r="C398"/>
      <c r="D398"/>
      <c r="E398"/>
      <c r="F398"/>
      <c r="G398"/>
      <c r="H398"/>
      <c r="I398"/>
      <c r="J398"/>
      <c r="K398"/>
      <c r="L398"/>
      <c r="M398"/>
      <c r="N398"/>
      <c r="O398"/>
      <c r="P398"/>
      <c r="Q398"/>
      <c r="R398"/>
      <c r="S398"/>
    </row>
    <row r="399" spans="1:19">
      <c r="A399"/>
      <c r="B399"/>
      <c r="C399"/>
      <c r="D399"/>
      <c r="E399"/>
      <c r="F399"/>
      <c r="G399"/>
      <c r="H399"/>
      <c r="I399"/>
      <c r="J399"/>
      <c r="K399"/>
      <c r="L399"/>
      <c r="M399"/>
      <c r="N399"/>
      <c r="O399"/>
      <c r="P399"/>
      <c r="Q399"/>
      <c r="R399"/>
      <c r="S399"/>
    </row>
    <row r="400" spans="1:19">
      <c r="A400"/>
      <c r="B400"/>
      <c r="C400"/>
      <c r="D400"/>
      <c r="E400"/>
      <c r="F400"/>
      <c r="G400"/>
      <c r="H400"/>
      <c r="I400"/>
      <c r="J400"/>
      <c r="K400"/>
      <c r="L400"/>
      <c r="M400"/>
      <c r="N400"/>
      <c r="O400"/>
      <c r="P400"/>
      <c r="Q400"/>
      <c r="R400"/>
      <c r="S400"/>
    </row>
    <row r="401" spans="1:19">
      <c r="A401"/>
      <c r="B401"/>
      <c r="C401"/>
      <c r="D401"/>
      <c r="E401"/>
      <c r="F401"/>
      <c r="G401"/>
      <c r="H401"/>
      <c r="I401"/>
      <c r="J401"/>
      <c r="K401"/>
      <c r="L401"/>
      <c r="M401"/>
      <c r="N401"/>
      <c r="O401"/>
      <c r="P401"/>
      <c r="Q401"/>
      <c r="R401"/>
      <c r="S401"/>
    </row>
    <row r="402" spans="1:19">
      <c r="A402"/>
      <c r="B402"/>
      <c r="C402"/>
      <c r="D402"/>
      <c r="E402"/>
      <c r="F402"/>
      <c r="G402"/>
      <c r="H402"/>
      <c r="I402"/>
      <c r="J402"/>
      <c r="K402"/>
      <c r="L402"/>
      <c r="M402"/>
      <c r="N402"/>
      <c r="O402"/>
      <c r="P402"/>
      <c r="Q402"/>
      <c r="R402"/>
      <c r="S402"/>
    </row>
    <row r="403" spans="1:19">
      <c r="A403"/>
      <c r="B403"/>
      <c r="C403"/>
      <c r="D403"/>
      <c r="E403"/>
      <c r="F403"/>
      <c r="G403"/>
      <c r="H403"/>
      <c r="I403"/>
      <c r="J403"/>
      <c r="K403"/>
      <c r="L403"/>
      <c r="M403"/>
      <c r="N403"/>
      <c r="O403"/>
      <c r="P403"/>
      <c r="Q403"/>
      <c r="R403"/>
      <c r="S403"/>
    </row>
    <row r="404" spans="1:19">
      <c r="A404"/>
      <c r="B404"/>
      <c r="C404"/>
      <c r="D404"/>
      <c r="E404"/>
      <c r="F404"/>
      <c r="G404"/>
      <c r="H404"/>
      <c r="I404"/>
      <c r="J404"/>
      <c r="K404"/>
      <c r="L404"/>
      <c r="M404"/>
      <c r="N404"/>
      <c r="O404"/>
      <c r="P404"/>
      <c r="Q404"/>
      <c r="R404"/>
      <c r="S404"/>
    </row>
    <row r="405" spans="1:19">
      <c r="A405"/>
      <c r="B405"/>
      <c r="C405"/>
      <c r="D405"/>
      <c r="E405"/>
      <c r="F405"/>
      <c r="G405"/>
      <c r="H405"/>
      <c r="I405"/>
      <c r="J405"/>
      <c r="K405"/>
      <c r="L405"/>
      <c r="M405"/>
      <c r="N405"/>
      <c r="O405"/>
      <c r="P405"/>
      <c r="Q405"/>
      <c r="R405"/>
      <c r="S405"/>
    </row>
    <row r="406" spans="1:19">
      <c r="A406"/>
      <c r="B406"/>
      <c r="C406"/>
      <c r="D406"/>
      <c r="E406"/>
      <c r="F406"/>
      <c r="G406"/>
      <c r="H406"/>
      <c r="I406"/>
      <c r="J406"/>
      <c r="K406"/>
      <c r="L406"/>
      <c r="M406"/>
      <c r="N406"/>
      <c r="O406"/>
      <c r="P406"/>
      <c r="Q406"/>
      <c r="R406"/>
      <c r="S406"/>
    </row>
    <row r="407" spans="1:19">
      <c r="A407"/>
      <c r="B407"/>
      <c r="C407"/>
      <c r="D407"/>
      <c r="E407"/>
      <c r="F407"/>
      <c r="G407"/>
      <c r="H407"/>
      <c r="I407"/>
      <c r="J407"/>
      <c r="K407"/>
      <c r="L407"/>
      <c r="M407"/>
      <c r="N407"/>
      <c r="O407"/>
      <c r="P407"/>
      <c r="Q407"/>
      <c r="R407"/>
      <c r="S407"/>
    </row>
    <row r="408" spans="1:19">
      <c r="A408"/>
      <c r="B408"/>
      <c r="C408"/>
      <c r="D408"/>
      <c r="E408"/>
      <c r="F408"/>
      <c r="G408"/>
      <c r="H408"/>
      <c r="I408"/>
      <c r="J408"/>
      <c r="K408"/>
      <c r="L408"/>
      <c r="M408"/>
      <c r="N408"/>
      <c r="O408"/>
      <c r="P408"/>
      <c r="Q408"/>
      <c r="R408"/>
      <c r="S408"/>
    </row>
    <row r="409" spans="1:19">
      <c r="A409"/>
      <c r="B409"/>
      <c r="C409"/>
      <c r="D409"/>
      <c r="E409"/>
      <c r="F409"/>
      <c r="G409"/>
      <c r="H409"/>
      <c r="I409"/>
      <c r="J409"/>
      <c r="K409"/>
      <c r="L409"/>
      <c r="M409"/>
      <c r="N409"/>
      <c r="O409"/>
      <c r="P409"/>
      <c r="Q409"/>
      <c r="R409"/>
      <c r="S409"/>
    </row>
    <row r="410" spans="1:19">
      <c r="A410"/>
      <c r="B410"/>
      <c r="C410"/>
      <c r="D410"/>
      <c r="E410"/>
      <c r="F410"/>
      <c r="G410"/>
      <c r="H410"/>
      <c r="I410"/>
      <c r="J410"/>
      <c r="K410"/>
      <c r="L410"/>
      <c r="M410"/>
      <c r="N410"/>
      <c r="O410"/>
      <c r="P410"/>
      <c r="Q410"/>
      <c r="R410"/>
      <c r="S410"/>
    </row>
    <row r="411" spans="1:19">
      <c r="A411"/>
      <c r="B411"/>
      <c r="C411"/>
      <c r="D411"/>
      <c r="E411"/>
      <c r="F411"/>
      <c r="G411"/>
      <c r="H411"/>
      <c r="I411"/>
      <c r="J411"/>
      <c r="K411"/>
      <c r="L411"/>
      <c r="M411"/>
      <c r="N411"/>
      <c r="O411"/>
      <c r="P411"/>
      <c r="Q411"/>
      <c r="R411"/>
      <c r="S411"/>
    </row>
    <row r="412" spans="1:19">
      <c r="A412"/>
      <c r="B412"/>
      <c r="C412"/>
      <c r="D412"/>
      <c r="E412"/>
      <c r="F412"/>
      <c r="G412"/>
      <c r="H412"/>
      <c r="I412"/>
      <c r="J412"/>
      <c r="K412"/>
      <c r="L412"/>
      <c r="M412"/>
      <c r="N412"/>
      <c r="O412"/>
      <c r="P412"/>
      <c r="Q412"/>
      <c r="R412"/>
      <c r="S412"/>
    </row>
    <row r="413" spans="1:19">
      <c r="A413"/>
      <c r="B413"/>
      <c r="C413"/>
      <c r="D413"/>
      <c r="E413"/>
      <c r="F413"/>
      <c r="G413"/>
      <c r="H413"/>
      <c r="I413"/>
      <c r="J413"/>
      <c r="K413"/>
      <c r="L413"/>
      <c r="M413"/>
      <c r="N413"/>
      <c r="O413"/>
      <c r="P413"/>
      <c r="Q413"/>
      <c r="R413"/>
      <c r="S413"/>
    </row>
    <row r="414" spans="1:19">
      <c r="A414"/>
      <c r="B414"/>
      <c r="C414"/>
      <c r="D414"/>
      <c r="E414"/>
      <c r="F414"/>
      <c r="G414"/>
      <c r="H414"/>
      <c r="I414"/>
      <c r="J414"/>
      <c r="K414"/>
      <c r="L414"/>
      <c r="M414"/>
      <c r="N414"/>
      <c r="O414"/>
      <c r="P414"/>
      <c r="Q414"/>
      <c r="R414"/>
      <c r="S414"/>
    </row>
    <row r="415" spans="1:19">
      <c r="A415"/>
      <c r="B415"/>
      <c r="C415"/>
      <c r="D415"/>
      <c r="E415"/>
      <c r="F415"/>
      <c r="G415"/>
      <c r="H415"/>
      <c r="I415"/>
      <c r="J415"/>
      <c r="K415"/>
      <c r="L415"/>
      <c r="M415"/>
      <c r="N415"/>
      <c r="O415"/>
      <c r="P415"/>
      <c r="Q415"/>
      <c r="R415"/>
      <c r="S415"/>
    </row>
    <row r="416" spans="1:19">
      <c r="A416"/>
      <c r="B416"/>
      <c r="C416"/>
      <c r="D416"/>
      <c r="E416"/>
      <c r="F416"/>
      <c r="G416"/>
      <c r="H416"/>
      <c r="I416"/>
      <c r="J416"/>
      <c r="K416"/>
      <c r="L416"/>
      <c r="M416"/>
      <c r="N416"/>
      <c r="O416"/>
      <c r="P416"/>
      <c r="Q416"/>
      <c r="R416"/>
      <c r="S416"/>
    </row>
    <row r="417" spans="1:19">
      <c r="A417"/>
      <c r="B417"/>
      <c r="C417"/>
      <c r="D417"/>
      <c r="E417"/>
      <c r="F417"/>
      <c r="G417"/>
      <c r="H417"/>
      <c r="I417"/>
      <c r="J417"/>
      <c r="K417"/>
      <c r="L417"/>
      <c r="M417"/>
      <c r="N417"/>
      <c r="O417"/>
      <c r="P417"/>
      <c r="Q417"/>
      <c r="R417"/>
      <c r="S417"/>
    </row>
    <row r="418" spans="1:19">
      <c r="A418"/>
      <c r="B418"/>
      <c r="C418"/>
      <c r="D418"/>
      <c r="E418"/>
      <c r="F418"/>
      <c r="G418"/>
      <c r="H418"/>
      <c r="I418"/>
      <c r="J418"/>
      <c r="K418"/>
      <c r="L418"/>
      <c r="M418"/>
      <c r="N418"/>
      <c r="O418"/>
      <c r="P418"/>
      <c r="Q418"/>
      <c r="R418"/>
      <c r="S418"/>
    </row>
    <row r="419" spans="1:19">
      <c r="A419"/>
      <c r="B419"/>
      <c r="C419"/>
      <c r="D419"/>
      <c r="E419"/>
      <c r="F419"/>
      <c r="G419"/>
      <c r="H419"/>
      <c r="I419"/>
      <c r="J419"/>
      <c r="K419"/>
      <c r="L419"/>
      <c r="M419"/>
      <c r="N419"/>
      <c r="O419"/>
      <c r="P419"/>
      <c r="Q419"/>
      <c r="R419"/>
      <c r="S419"/>
    </row>
    <row r="420" spans="1:19">
      <c r="A420"/>
      <c r="B420"/>
      <c r="C420"/>
      <c r="D420"/>
      <c r="E420"/>
      <c r="F420"/>
      <c r="G420"/>
      <c r="H420"/>
      <c r="I420"/>
      <c r="J420"/>
      <c r="K420"/>
      <c r="L420"/>
      <c r="M420"/>
      <c r="N420"/>
      <c r="O420"/>
      <c r="P420"/>
      <c r="Q420"/>
      <c r="R420"/>
      <c r="S420"/>
    </row>
    <row r="421" spans="1:19">
      <c r="A421"/>
      <c r="B421"/>
      <c r="C421"/>
      <c r="D421"/>
      <c r="E421"/>
      <c r="F421"/>
      <c r="G421"/>
      <c r="H421"/>
      <c r="I421"/>
      <c r="J421"/>
      <c r="K421"/>
      <c r="L421"/>
      <c r="M421"/>
      <c r="N421"/>
      <c r="O421"/>
      <c r="P421"/>
      <c r="Q421"/>
      <c r="R421"/>
      <c r="S421"/>
    </row>
    <row r="422" spans="1:19">
      <c r="A422"/>
      <c r="B422"/>
      <c r="C422"/>
      <c r="D422"/>
      <c r="E422"/>
      <c r="F422"/>
      <c r="G422"/>
      <c r="H422"/>
      <c r="I422"/>
      <c r="J422"/>
      <c r="K422"/>
      <c r="L422"/>
      <c r="M422"/>
      <c r="N422"/>
      <c r="O422"/>
      <c r="P422"/>
      <c r="Q422"/>
      <c r="R422"/>
      <c r="S422"/>
    </row>
    <row r="423" spans="1:19">
      <c r="A423"/>
      <c r="B423"/>
      <c r="C423"/>
      <c r="D423"/>
      <c r="E423"/>
      <c r="F423"/>
      <c r="G423"/>
      <c r="H423"/>
      <c r="I423"/>
      <c r="J423"/>
      <c r="K423"/>
      <c r="L423"/>
      <c r="M423"/>
      <c r="N423"/>
      <c r="O423"/>
      <c r="P423"/>
      <c r="Q423"/>
      <c r="R423"/>
      <c r="S423"/>
    </row>
    <row r="424" spans="1:19">
      <c r="A424"/>
      <c r="B424"/>
      <c r="C424"/>
      <c r="D424"/>
      <c r="E424"/>
      <c r="F424"/>
      <c r="G424"/>
      <c r="H424"/>
      <c r="I424"/>
      <c r="J424"/>
      <c r="K424"/>
      <c r="L424"/>
      <c r="M424"/>
      <c r="N424"/>
      <c r="O424"/>
      <c r="P424"/>
      <c r="Q424"/>
      <c r="R424"/>
      <c r="S424"/>
    </row>
    <row r="425" spans="1:19">
      <c r="A425"/>
      <c r="B425"/>
      <c r="C425"/>
      <c r="D425"/>
      <c r="E425"/>
      <c r="F425"/>
      <c r="G425"/>
      <c r="H425"/>
      <c r="I425"/>
      <c r="J425"/>
      <c r="K425"/>
      <c r="L425"/>
      <c r="M425"/>
      <c r="N425"/>
      <c r="O425"/>
      <c r="P425"/>
      <c r="Q425"/>
      <c r="R425"/>
      <c r="S425"/>
    </row>
    <row r="426" spans="1:19">
      <c r="A426"/>
      <c r="B426"/>
      <c r="C426"/>
      <c r="D426"/>
      <c r="E426"/>
      <c r="F426"/>
      <c r="G426"/>
      <c r="H426"/>
      <c r="I426"/>
      <c r="J426"/>
      <c r="K426"/>
      <c r="L426"/>
      <c r="M426"/>
      <c r="N426"/>
      <c r="O426"/>
      <c r="P426"/>
      <c r="Q426"/>
      <c r="R426"/>
      <c r="S426"/>
    </row>
    <row r="427" spans="1:19">
      <c r="A427"/>
      <c r="B427"/>
      <c r="C427"/>
      <c r="D427"/>
      <c r="E427"/>
      <c r="F427"/>
      <c r="G427"/>
      <c r="H427"/>
      <c r="I427"/>
      <c r="J427"/>
      <c r="K427"/>
      <c r="L427"/>
      <c r="M427"/>
      <c r="N427"/>
      <c r="O427"/>
      <c r="P427"/>
      <c r="Q427"/>
      <c r="R427"/>
      <c r="S427"/>
    </row>
    <row r="428" spans="1:19">
      <c r="A428"/>
      <c r="B428"/>
      <c r="C428"/>
      <c r="D428"/>
      <c r="E428"/>
      <c r="F428"/>
      <c r="G428"/>
      <c r="H428"/>
      <c r="I428"/>
      <c r="J428"/>
      <c r="K428"/>
      <c r="L428"/>
      <c r="M428"/>
      <c r="N428"/>
      <c r="O428"/>
      <c r="P428"/>
      <c r="Q428"/>
      <c r="R428"/>
      <c r="S428"/>
    </row>
    <row r="429" spans="1:19">
      <c r="A429"/>
      <c r="B429"/>
      <c r="C429"/>
      <c r="D429"/>
      <c r="E429"/>
      <c r="F429"/>
      <c r="G429"/>
      <c r="H429"/>
      <c r="I429"/>
      <c r="J429"/>
      <c r="K429"/>
      <c r="L429"/>
      <c r="M429"/>
      <c r="N429"/>
      <c r="O429"/>
      <c r="P429"/>
      <c r="Q429"/>
      <c r="R429"/>
      <c r="S429"/>
    </row>
    <row r="430" spans="1:19">
      <c r="A430"/>
      <c r="B430"/>
      <c r="C430"/>
      <c r="D430"/>
      <c r="E430"/>
      <c r="F430"/>
      <c r="G430"/>
      <c r="H430"/>
      <c r="I430"/>
      <c r="J430"/>
      <c r="K430"/>
      <c r="L430"/>
      <c r="M430"/>
      <c r="N430"/>
      <c r="O430"/>
      <c r="P430"/>
      <c r="Q430"/>
      <c r="R430"/>
      <c r="S430"/>
    </row>
    <row r="431" spans="1:19">
      <c r="A431"/>
      <c r="B431"/>
      <c r="C431"/>
      <c r="D431"/>
      <c r="E431"/>
      <c r="F431"/>
      <c r="G431"/>
      <c r="H431"/>
      <c r="I431"/>
      <c r="J431"/>
      <c r="K431"/>
      <c r="L431"/>
      <c r="M431"/>
      <c r="N431"/>
      <c r="O431"/>
      <c r="P431"/>
      <c r="Q431"/>
      <c r="R431"/>
      <c r="S431"/>
    </row>
    <row r="432" spans="1:19">
      <c r="A432"/>
      <c r="B432"/>
      <c r="C432"/>
      <c r="D432"/>
      <c r="E432"/>
      <c r="F432"/>
      <c r="G432"/>
      <c r="H432"/>
      <c r="I432"/>
      <c r="J432"/>
      <c r="K432"/>
      <c r="L432"/>
      <c r="M432"/>
      <c r="N432"/>
      <c r="O432"/>
      <c r="P432"/>
      <c r="Q432"/>
      <c r="R432"/>
      <c r="S432"/>
    </row>
    <row r="433" spans="1:19">
      <c r="A433"/>
      <c r="B433"/>
      <c r="C433"/>
      <c r="D433"/>
      <c r="E433"/>
      <c r="F433"/>
      <c r="G433"/>
      <c r="H433"/>
      <c r="I433"/>
      <c r="J433"/>
      <c r="K433"/>
      <c r="L433"/>
      <c r="M433"/>
      <c r="N433"/>
      <c r="O433"/>
      <c r="P433"/>
      <c r="Q433"/>
      <c r="R433"/>
      <c r="S433"/>
    </row>
    <row r="434" spans="1:19">
      <c r="A434"/>
      <c r="B434"/>
      <c r="C434"/>
      <c r="D434"/>
      <c r="E434"/>
      <c r="F434"/>
      <c r="G434"/>
      <c r="H434"/>
      <c r="I434"/>
      <c r="J434"/>
      <c r="K434"/>
      <c r="L434"/>
      <c r="M434"/>
      <c r="N434"/>
      <c r="O434"/>
      <c r="P434"/>
      <c r="Q434"/>
      <c r="R434"/>
      <c r="S434"/>
    </row>
    <row r="435" spans="1:19">
      <c r="A435"/>
      <c r="B435"/>
      <c r="C435"/>
      <c r="D435"/>
      <c r="E435"/>
      <c r="F435"/>
      <c r="G435"/>
      <c r="H435"/>
      <c r="I435"/>
      <c r="J435"/>
      <c r="K435"/>
      <c r="L435"/>
      <c r="M435"/>
      <c r="N435"/>
      <c r="O435"/>
      <c r="P435"/>
      <c r="Q435"/>
      <c r="R435"/>
      <c r="S435"/>
    </row>
    <row r="436" spans="1:19">
      <c r="A436"/>
      <c r="B436"/>
      <c r="C436"/>
      <c r="D436"/>
      <c r="E436"/>
      <c r="F436"/>
      <c r="G436"/>
      <c r="H436"/>
      <c r="I436"/>
      <c r="J436"/>
      <c r="K436"/>
      <c r="L436"/>
      <c r="M436"/>
      <c r="N436"/>
      <c r="O436"/>
      <c r="P436"/>
      <c r="Q436"/>
      <c r="R436"/>
      <c r="S436"/>
    </row>
    <row r="437" spans="1:19">
      <c r="A437"/>
      <c r="B437"/>
      <c r="C437"/>
      <c r="D437"/>
      <c r="E437"/>
      <c r="F437"/>
      <c r="G437"/>
      <c r="H437"/>
      <c r="I437"/>
      <c r="J437"/>
      <c r="K437"/>
      <c r="L437"/>
      <c r="M437"/>
      <c r="N437"/>
      <c r="O437"/>
      <c r="P437"/>
      <c r="Q437"/>
      <c r="R437"/>
      <c r="S437"/>
    </row>
    <row r="438" spans="1:19">
      <c r="A438"/>
      <c r="B438"/>
      <c r="C438"/>
      <c r="D438"/>
      <c r="E438"/>
      <c r="F438"/>
      <c r="G438"/>
      <c r="H438"/>
      <c r="I438"/>
      <c r="J438"/>
      <c r="K438"/>
      <c r="L438"/>
      <c r="M438"/>
      <c r="N438"/>
      <c r="O438"/>
      <c r="P438"/>
      <c r="Q438"/>
      <c r="R438"/>
      <c r="S438"/>
    </row>
    <row r="439" spans="1:19">
      <c r="A439"/>
      <c r="B439"/>
      <c r="C439"/>
      <c r="D439"/>
      <c r="E439"/>
      <c r="F439"/>
      <c r="G439"/>
      <c r="H439"/>
      <c r="I439"/>
      <c r="J439"/>
      <c r="K439"/>
      <c r="L439"/>
      <c r="M439"/>
      <c r="N439"/>
      <c r="O439"/>
      <c r="P439"/>
      <c r="Q439"/>
      <c r="R439"/>
      <c r="S439"/>
    </row>
    <row r="440" spans="1:19">
      <c r="A440"/>
      <c r="B440"/>
      <c r="C440"/>
      <c r="D440"/>
      <c r="E440"/>
      <c r="F440"/>
      <c r="G440"/>
      <c r="H440"/>
      <c r="I440"/>
      <c r="J440"/>
      <c r="K440"/>
      <c r="L440"/>
      <c r="M440"/>
      <c r="N440"/>
      <c r="O440"/>
      <c r="P440"/>
      <c r="Q440"/>
      <c r="R440"/>
      <c r="S440"/>
    </row>
    <row r="441" spans="1:19">
      <c r="A441"/>
      <c r="B441"/>
      <c r="C441"/>
      <c r="D441"/>
      <c r="E441"/>
      <c r="F441"/>
      <c r="G441"/>
      <c r="H441"/>
      <c r="I441"/>
      <c r="J441"/>
      <c r="K441"/>
      <c r="L441"/>
      <c r="M441"/>
      <c r="N441"/>
      <c r="O441"/>
      <c r="P441"/>
      <c r="Q441"/>
      <c r="R441"/>
      <c r="S441"/>
    </row>
    <row r="442" spans="1:19">
      <c r="A442"/>
      <c r="B442"/>
      <c r="C442"/>
      <c r="D442"/>
      <c r="E442"/>
      <c r="F442"/>
      <c r="G442"/>
      <c r="H442"/>
      <c r="I442"/>
      <c r="J442"/>
      <c r="K442"/>
      <c r="L442"/>
      <c r="M442"/>
      <c r="N442"/>
      <c r="O442"/>
      <c r="P442"/>
      <c r="Q442"/>
      <c r="R442"/>
      <c r="S442"/>
    </row>
    <row r="443" spans="1:19">
      <c r="A443"/>
      <c r="B443"/>
      <c r="C443"/>
      <c r="D443"/>
      <c r="E443"/>
      <c r="F443"/>
      <c r="G443"/>
      <c r="H443"/>
      <c r="I443"/>
      <c r="J443"/>
      <c r="K443"/>
      <c r="L443"/>
      <c r="M443"/>
      <c r="N443"/>
      <c r="O443"/>
      <c r="P443"/>
      <c r="Q443"/>
      <c r="R443"/>
      <c r="S443"/>
    </row>
    <row r="444" spans="1:19">
      <c r="A444"/>
      <c r="B444"/>
      <c r="C444"/>
      <c r="D444"/>
      <c r="E444"/>
      <c r="F444"/>
      <c r="G444"/>
      <c r="H444"/>
      <c r="I444"/>
      <c r="J444"/>
      <c r="K444"/>
      <c r="L444"/>
      <c r="M444"/>
      <c r="N444"/>
      <c r="O444"/>
      <c r="P444"/>
      <c r="Q444"/>
      <c r="R444"/>
      <c r="S444"/>
    </row>
    <row r="445" spans="1:19">
      <c r="A445"/>
      <c r="B445"/>
      <c r="C445"/>
      <c r="D445"/>
      <c r="E445"/>
      <c r="F445"/>
      <c r="G445"/>
      <c r="H445"/>
      <c r="I445"/>
      <c r="J445"/>
      <c r="K445"/>
      <c r="L445"/>
      <c r="M445"/>
      <c r="N445"/>
      <c r="O445"/>
      <c r="P445"/>
      <c r="Q445"/>
      <c r="R445"/>
      <c r="S445"/>
    </row>
    <row r="446" spans="1:19">
      <c r="A446"/>
      <c r="B446"/>
      <c r="C446"/>
      <c r="D446"/>
      <c r="E446"/>
      <c r="F446"/>
      <c r="G446"/>
      <c r="H446"/>
      <c r="I446"/>
      <c r="J446"/>
      <c r="K446"/>
      <c r="L446"/>
      <c r="M446"/>
      <c r="N446"/>
      <c r="O446"/>
      <c r="P446"/>
      <c r="Q446"/>
      <c r="R446"/>
      <c r="S446"/>
    </row>
    <row r="447" spans="1:19">
      <c r="A447"/>
      <c r="B447"/>
      <c r="C447"/>
      <c r="D447"/>
      <c r="E447"/>
      <c r="F447"/>
      <c r="G447"/>
      <c r="H447"/>
      <c r="I447"/>
      <c r="J447"/>
      <c r="K447"/>
      <c r="L447"/>
      <c r="M447"/>
      <c r="N447"/>
      <c r="O447"/>
      <c r="P447"/>
      <c r="Q447"/>
      <c r="R447"/>
      <c r="S447"/>
    </row>
    <row r="448" spans="1:19">
      <c r="A448"/>
      <c r="B448"/>
      <c r="C448"/>
      <c r="D448"/>
      <c r="E448"/>
      <c r="F448"/>
      <c r="G448"/>
      <c r="H448"/>
      <c r="I448"/>
      <c r="J448"/>
      <c r="K448"/>
      <c r="L448"/>
      <c r="M448"/>
      <c r="N448"/>
      <c r="O448"/>
      <c r="P448"/>
      <c r="Q448"/>
      <c r="R448"/>
      <c r="S448"/>
    </row>
    <row r="449" spans="1:19">
      <c r="A449"/>
      <c r="B449"/>
      <c r="C449"/>
      <c r="D449"/>
      <c r="E449"/>
      <c r="F449"/>
      <c r="G449"/>
      <c r="H449"/>
      <c r="I449"/>
      <c r="J449"/>
      <c r="K449"/>
      <c r="L449"/>
      <c r="M449"/>
      <c r="N449"/>
      <c r="O449"/>
      <c r="P449"/>
      <c r="Q449"/>
      <c r="R449"/>
      <c r="S449"/>
    </row>
    <row r="450" spans="1:19">
      <c r="A450"/>
      <c r="B450"/>
      <c r="C450"/>
      <c r="D450"/>
      <c r="E450"/>
      <c r="F450"/>
      <c r="G450"/>
      <c r="H450"/>
      <c r="I450"/>
      <c r="J450"/>
      <c r="K450"/>
      <c r="L450"/>
      <c r="M450"/>
      <c r="N450"/>
      <c r="O450"/>
      <c r="P450"/>
      <c r="Q450"/>
      <c r="R450"/>
      <c r="S450"/>
    </row>
    <row r="451" spans="1:19">
      <c r="A451"/>
      <c r="B451"/>
      <c r="C451"/>
      <c r="D451"/>
      <c r="E451"/>
      <c r="F451"/>
      <c r="G451"/>
      <c r="H451"/>
      <c r="I451"/>
      <c r="J451"/>
      <c r="K451"/>
      <c r="L451"/>
      <c r="M451"/>
      <c r="N451"/>
      <c r="O451"/>
      <c r="P451"/>
      <c r="Q451"/>
      <c r="R451"/>
      <c r="S451"/>
    </row>
    <row r="452" spans="1:19">
      <c r="A452"/>
      <c r="B452"/>
      <c r="C452"/>
      <c r="D452"/>
      <c r="E452"/>
      <c r="F452"/>
      <c r="G452"/>
      <c r="H452"/>
      <c r="I452"/>
      <c r="J452"/>
      <c r="K452"/>
      <c r="L452"/>
      <c r="M452"/>
      <c r="N452"/>
      <c r="O452"/>
      <c r="P452"/>
      <c r="Q452"/>
      <c r="R452"/>
      <c r="S452"/>
    </row>
    <row r="453" spans="1:19">
      <c r="A453"/>
      <c r="B453"/>
      <c r="C453"/>
      <c r="D453"/>
      <c r="E453"/>
      <c r="F453"/>
      <c r="G453"/>
      <c r="H453"/>
      <c r="I453"/>
      <c r="J453"/>
      <c r="K453"/>
      <c r="L453"/>
      <c r="M453"/>
      <c r="N453"/>
      <c r="O453"/>
      <c r="P453"/>
      <c r="Q453"/>
      <c r="R453"/>
      <c r="S453"/>
    </row>
    <row r="454" spans="1:19">
      <c r="A454"/>
      <c r="B454"/>
      <c r="C454"/>
      <c r="D454"/>
      <c r="E454"/>
      <c r="F454"/>
      <c r="G454"/>
      <c r="H454"/>
      <c r="I454"/>
      <c r="J454"/>
      <c r="K454"/>
      <c r="L454"/>
      <c r="M454"/>
      <c r="N454"/>
      <c r="O454"/>
      <c r="P454"/>
      <c r="Q454"/>
      <c r="R454"/>
      <c r="S454"/>
    </row>
    <row r="455" spans="1:19">
      <c r="A455"/>
      <c r="B455"/>
      <c r="C455"/>
      <c r="D455"/>
      <c r="E455"/>
      <c r="F455"/>
      <c r="G455"/>
      <c r="H455"/>
      <c r="I455"/>
      <c r="J455"/>
      <c r="K455"/>
      <c r="L455"/>
      <c r="M455"/>
      <c r="N455"/>
      <c r="O455"/>
      <c r="P455"/>
      <c r="Q455"/>
      <c r="R455"/>
      <c r="S455"/>
    </row>
    <row r="456" spans="1:19">
      <c r="A456"/>
      <c r="B456"/>
      <c r="C456"/>
      <c r="D456"/>
      <c r="E456"/>
      <c r="F456"/>
      <c r="G456"/>
      <c r="H456"/>
      <c r="I456"/>
      <c r="J456"/>
      <c r="K456"/>
      <c r="L456"/>
      <c r="M456"/>
      <c r="N456"/>
      <c r="O456"/>
      <c r="P456"/>
      <c r="Q456"/>
      <c r="R456"/>
      <c r="S456"/>
    </row>
    <row r="457" spans="1:19">
      <c r="A457"/>
      <c r="B457"/>
      <c r="C457"/>
      <c r="D457"/>
      <c r="E457"/>
      <c r="F457"/>
      <c r="G457"/>
      <c r="H457"/>
      <c r="I457"/>
      <c r="J457"/>
      <c r="K457"/>
      <c r="L457"/>
      <c r="M457"/>
      <c r="N457"/>
      <c r="O457"/>
      <c r="P457"/>
      <c r="Q457"/>
      <c r="R457"/>
      <c r="S457"/>
    </row>
    <row r="458" spans="1:19">
      <c r="A458"/>
      <c r="B458"/>
      <c r="C458"/>
      <c r="D458"/>
      <c r="E458"/>
      <c r="F458"/>
      <c r="G458"/>
      <c r="H458"/>
      <c r="I458"/>
      <c r="J458"/>
      <c r="K458"/>
      <c r="L458"/>
      <c r="M458"/>
      <c r="N458"/>
      <c r="O458"/>
      <c r="P458"/>
      <c r="Q458"/>
      <c r="R458"/>
      <c r="S458"/>
    </row>
    <row r="459" spans="1:19">
      <c r="A459"/>
      <c r="B459"/>
      <c r="C459"/>
      <c r="D459"/>
      <c r="E459"/>
      <c r="F459"/>
      <c r="G459"/>
      <c r="H459"/>
      <c r="I459"/>
      <c r="J459"/>
      <c r="K459"/>
      <c r="L459"/>
      <c r="M459"/>
      <c r="N459"/>
      <c r="O459"/>
      <c r="P459"/>
      <c r="Q459"/>
      <c r="R459"/>
      <c r="S459"/>
    </row>
    <row r="460" spans="1:19">
      <c r="A460"/>
      <c r="B460"/>
      <c r="C460"/>
      <c r="D460"/>
      <c r="E460"/>
      <c r="F460"/>
      <c r="G460"/>
      <c r="H460"/>
      <c r="I460"/>
      <c r="J460"/>
      <c r="K460"/>
      <c r="L460"/>
      <c r="M460"/>
      <c r="N460"/>
      <c r="O460"/>
      <c r="P460"/>
      <c r="Q460"/>
      <c r="R460"/>
      <c r="S460"/>
    </row>
    <row r="461" spans="1:19">
      <c r="A461"/>
      <c r="B461"/>
      <c r="C461"/>
      <c r="D461"/>
      <c r="E461"/>
      <c r="F461"/>
      <c r="G461"/>
      <c r="H461"/>
      <c r="I461"/>
      <c r="J461"/>
      <c r="K461"/>
      <c r="L461"/>
      <c r="M461"/>
      <c r="N461"/>
      <c r="O461"/>
      <c r="P461"/>
      <c r="Q461"/>
      <c r="R461"/>
      <c r="S461"/>
    </row>
    <row r="462" spans="1:19">
      <c r="A462"/>
      <c r="B462"/>
      <c r="C462"/>
      <c r="D462"/>
      <c r="E462"/>
      <c r="F462"/>
      <c r="G462"/>
      <c r="H462"/>
      <c r="I462"/>
      <c r="J462"/>
      <c r="K462"/>
      <c r="L462"/>
      <c r="M462"/>
      <c r="N462"/>
      <c r="O462"/>
      <c r="P462"/>
      <c r="Q462"/>
      <c r="R462"/>
      <c r="S462"/>
    </row>
    <row r="463" spans="1:19">
      <c r="A463"/>
      <c r="B463"/>
      <c r="C463"/>
      <c r="D463"/>
      <c r="E463"/>
      <c r="F463"/>
      <c r="G463"/>
      <c r="H463"/>
      <c r="I463"/>
      <c r="J463"/>
      <c r="K463"/>
      <c r="L463"/>
      <c r="M463"/>
      <c r="N463"/>
      <c r="O463"/>
      <c r="P463"/>
      <c r="Q463"/>
      <c r="R463"/>
      <c r="S463"/>
    </row>
    <row r="464" spans="1:19">
      <c r="A464"/>
      <c r="B464"/>
      <c r="C464"/>
      <c r="D464"/>
      <c r="E464"/>
      <c r="F464"/>
      <c r="G464"/>
      <c r="H464"/>
      <c r="I464"/>
      <c r="J464"/>
      <c r="K464"/>
      <c r="L464"/>
      <c r="M464"/>
      <c r="N464"/>
      <c r="O464"/>
      <c r="P464"/>
      <c r="Q464"/>
      <c r="R464"/>
      <c r="S464"/>
    </row>
    <row r="465" spans="1:19">
      <c r="A465"/>
      <c r="B465"/>
      <c r="C465"/>
      <c r="D465"/>
      <c r="E465"/>
      <c r="F465"/>
      <c r="G465"/>
      <c r="H465"/>
      <c r="I465"/>
      <c r="J465"/>
      <c r="K465"/>
      <c r="L465"/>
      <c r="M465"/>
      <c r="N465"/>
      <c r="O465"/>
      <c r="P465"/>
      <c r="Q465"/>
      <c r="R465"/>
      <c r="S465"/>
    </row>
    <row r="466" spans="1:19">
      <c r="A466"/>
      <c r="B466"/>
      <c r="C466"/>
      <c r="D466"/>
      <c r="E466"/>
      <c r="F466"/>
      <c r="G466"/>
      <c r="H466"/>
      <c r="I466"/>
      <c r="J466"/>
      <c r="K466"/>
      <c r="L466"/>
      <c r="M466"/>
      <c r="N466"/>
      <c r="O466"/>
      <c r="P466"/>
      <c r="Q466"/>
      <c r="R466"/>
      <c r="S466"/>
    </row>
    <row r="467" spans="1:19">
      <c r="A467"/>
      <c r="B467"/>
      <c r="C467"/>
      <c r="D467"/>
      <c r="E467"/>
      <c r="F467"/>
      <c r="G467"/>
      <c r="H467"/>
      <c r="I467"/>
      <c r="J467"/>
      <c r="K467"/>
      <c r="L467"/>
      <c r="M467"/>
      <c r="N467"/>
      <c r="O467"/>
      <c r="P467"/>
      <c r="Q467"/>
      <c r="R467"/>
      <c r="S467"/>
    </row>
    <row r="468" spans="1:19">
      <c r="A468"/>
      <c r="B468"/>
      <c r="C468"/>
      <c r="D468"/>
      <c r="E468"/>
      <c r="F468"/>
      <c r="G468"/>
      <c r="H468"/>
      <c r="I468"/>
      <c r="J468"/>
      <c r="K468"/>
      <c r="L468"/>
      <c r="M468"/>
      <c r="N468"/>
      <c r="O468"/>
      <c r="P468"/>
      <c r="Q468"/>
      <c r="R468"/>
      <c r="S468"/>
    </row>
    <row r="469" spans="1:19">
      <c r="A469"/>
      <c r="B469"/>
      <c r="C469"/>
      <c r="D469"/>
      <c r="E469"/>
      <c r="F469"/>
      <c r="G469"/>
      <c r="H469"/>
      <c r="I469"/>
      <c r="J469"/>
      <c r="K469"/>
      <c r="L469"/>
      <c r="M469"/>
      <c r="N469"/>
      <c r="O469"/>
      <c r="P469"/>
      <c r="Q469"/>
      <c r="R469"/>
      <c r="S469"/>
    </row>
    <row r="470" spans="1:19">
      <c r="A470"/>
      <c r="B470"/>
      <c r="C470"/>
      <c r="D470"/>
      <c r="E470"/>
      <c r="F470"/>
      <c r="G470"/>
      <c r="H470"/>
      <c r="I470"/>
      <c r="J470"/>
      <c r="K470"/>
      <c r="L470"/>
      <c r="M470"/>
      <c r="N470"/>
      <c r="O470"/>
      <c r="P470"/>
      <c r="Q470"/>
      <c r="R470"/>
      <c r="S470"/>
    </row>
    <row r="471" spans="1:19">
      <c r="A471"/>
      <c r="B471"/>
      <c r="C471"/>
      <c r="D471"/>
      <c r="E471"/>
      <c r="F471"/>
      <c r="G471"/>
      <c r="H471"/>
      <c r="I471"/>
      <c r="J471"/>
      <c r="K471"/>
      <c r="L471"/>
      <c r="M471"/>
      <c r="N471"/>
      <c r="O471"/>
      <c r="P471"/>
      <c r="Q471"/>
      <c r="R471"/>
      <c r="S471"/>
    </row>
    <row r="472" spans="1:19">
      <c r="A472"/>
      <c r="B472"/>
      <c r="C472"/>
      <c r="D472"/>
      <c r="E472"/>
      <c r="F472"/>
      <c r="G472"/>
      <c r="H472"/>
      <c r="I472"/>
      <c r="J472"/>
      <c r="K472"/>
      <c r="L472"/>
      <c r="M472"/>
      <c r="N472"/>
      <c r="O472"/>
      <c r="P472"/>
      <c r="Q472"/>
      <c r="R472"/>
      <c r="S472"/>
    </row>
    <row r="473" spans="1:19">
      <c r="A473"/>
      <c r="B473"/>
      <c r="C473"/>
      <c r="D473"/>
      <c r="E473"/>
      <c r="F473"/>
      <c r="G473"/>
      <c r="H473"/>
      <c r="I473"/>
      <c r="J473"/>
      <c r="K473"/>
      <c r="L473"/>
      <c r="M473"/>
      <c r="N473"/>
      <c r="O473"/>
      <c r="P473"/>
      <c r="Q473"/>
      <c r="R473"/>
      <c r="S473"/>
    </row>
    <row r="474" spans="1:19">
      <c r="A474"/>
      <c r="B474"/>
      <c r="C474"/>
      <c r="D474"/>
      <c r="E474"/>
      <c r="F474"/>
      <c r="G474"/>
      <c r="H474"/>
      <c r="I474"/>
      <c r="J474"/>
      <c r="K474"/>
      <c r="L474"/>
      <c r="M474"/>
      <c r="N474"/>
      <c r="O474"/>
      <c r="P474"/>
      <c r="Q474"/>
      <c r="R474"/>
      <c r="S474"/>
    </row>
    <row r="475" spans="1:19">
      <c r="A475"/>
      <c r="B475"/>
      <c r="C475"/>
      <c r="D475"/>
      <c r="E475"/>
      <c r="F475"/>
      <c r="G475"/>
      <c r="H475"/>
      <c r="I475"/>
      <c r="J475"/>
      <c r="K475"/>
      <c r="L475"/>
      <c r="M475"/>
      <c r="N475"/>
      <c r="O475"/>
      <c r="P475"/>
      <c r="Q475"/>
      <c r="R475"/>
      <c r="S475"/>
    </row>
    <row r="476" spans="1:19">
      <c r="A476"/>
      <c r="B476"/>
      <c r="C476"/>
      <c r="D476"/>
      <c r="E476"/>
      <c r="F476"/>
      <c r="G476"/>
      <c r="H476"/>
      <c r="I476"/>
      <c r="J476"/>
      <c r="K476"/>
      <c r="L476"/>
      <c r="M476"/>
      <c r="N476"/>
      <c r="O476"/>
      <c r="P476"/>
      <c r="Q476"/>
      <c r="R476"/>
      <c r="S476"/>
    </row>
    <row r="477" spans="1:19">
      <c r="A477"/>
      <c r="B477"/>
      <c r="C477"/>
      <c r="D477"/>
      <c r="E477"/>
      <c r="F477"/>
      <c r="G477"/>
      <c r="H477"/>
      <c r="I477"/>
      <c r="J477"/>
      <c r="K477"/>
      <c r="L477"/>
      <c r="M477"/>
      <c r="N477"/>
      <c r="O477"/>
      <c r="P477"/>
      <c r="Q477"/>
      <c r="R477"/>
      <c r="S477"/>
    </row>
    <row r="478" spans="1:19">
      <c r="A478"/>
      <c r="B478"/>
      <c r="C478"/>
      <c r="D478"/>
      <c r="E478"/>
      <c r="F478"/>
      <c r="G478"/>
      <c r="H478"/>
      <c r="I478"/>
      <c r="J478"/>
      <c r="K478"/>
      <c r="L478"/>
      <c r="M478"/>
      <c r="N478"/>
      <c r="O478"/>
      <c r="P478"/>
      <c r="Q478"/>
      <c r="R478"/>
      <c r="S478"/>
    </row>
    <row r="479" spans="1:19">
      <c r="A479"/>
      <c r="B479"/>
      <c r="C479"/>
      <c r="D479"/>
      <c r="E479"/>
      <c r="F479"/>
      <c r="G479"/>
      <c r="H479"/>
      <c r="I479"/>
      <c r="J479"/>
      <c r="K479"/>
      <c r="L479"/>
      <c r="M479"/>
      <c r="N479"/>
      <c r="O479"/>
      <c r="P479"/>
      <c r="Q479"/>
      <c r="R479"/>
      <c r="S479"/>
    </row>
    <row r="480" spans="1:19">
      <c r="A480"/>
      <c r="B480"/>
      <c r="C480"/>
      <c r="D480"/>
      <c r="E480"/>
      <c r="F480"/>
      <c r="G480"/>
      <c r="H480"/>
      <c r="I480"/>
      <c r="J480"/>
      <c r="K480"/>
      <c r="L480"/>
      <c r="M480"/>
      <c r="N480"/>
      <c r="O480"/>
      <c r="P480"/>
      <c r="Q480"/>
      <c r="R480"/>
      <c r="S480"/>
    </row>
    <row r="481" spans="1:19">
      <c r="A481"/>
      <c r="B481"/>
      <c r="C481"/>
      <c r="D481"/>
      <c r="E481"/>
      <c r="F481"/>
      <c r="G481"/>
      <c r="H481"/>
      <c r="I481"/>
      <c r="J481"/>
      <c r="K481"/>
      <c r="L481"/>
      <c r="M481"/>
      <c r="N481"/>
      <c r="O481"/>
      <c r="P481"/>
      <c r="Q481"/>
      <c r="R481"/>
      <c r="S481"/>
    </row>
    <row r="482" spans="1:19">
      <c r="A482"/>
      <c r="B482"/>
      <c r="C482"/>
      <c r="D482"/>
      <c r="E482"/>
      <c r="F482"/>
      <c r="G482"/>
      <c r="H482"/>
      <c r="I482"/>
      <c r="J482"/>
      <c r="K482"/>
      <c r="L482"/>
      <c r="M482"/>
      <c r="N482"/>
      <c r="O482"/>
      <c r="P482"/>
      <c r="Q482"/>
      <c r="R482"/>
      <c r="S482"/>
    </row>
    <row r="483" spans="1:19">
      <c r="A483"/>
      <c r="B483"/>
      <c r="C483"/>
      <c r="D483"/>
      <c r="E483"/>
      <c r="F483"/>
      <c r="G483"/>
      <c r="H483"/>
      <c r="I483"/>
      <c r="J483"/>
      <c r="K483"/>
      <c r="L483"/>
      <c r="M483"/>
      <c r="N483"/>
      <c r="O483"/>
      <c r="P483"/>
      <c r="Q483"/>
      <c r="R483"/>
      <c r="S483"/>
    </row>
    <row r="484" spans="1:19">
      <c r="A484"/>
      <c r="B484"/>
      <c r="C484"/>
      <c r="D484"/>
      <c r="E484"/>
      <c r="F484"/>
      <c r="G484"/>
      <c r="H484"/>
      <c r="I484"/>
      <c r="J484"/>
      <c r="K484"/>
      <c r="L484"/>
      <c r="M484"/>
      <c r="N484"/>
      <c r="O484"/>
      <c r="P484"/>
      <c r="Q484"/>
      <c r="R484"/>
      <c r="S484"/>
    </row>
    <row r="485" spans="1:19">
      <c r="A485"/>
      <c r="B485"/>
      <c r="C485"/>
      <c r="D485"/>
      <c r="E485"/>
      <c r="F485"/>
      <c r="G485"/>
      <c r="H485"/>
      <c r="I485"/>
      <c r="J485"/>
      <c r="K485"/>
      <c r="L485"/>
      <c r="M485"/>
      <c r="N485"/>
      <c r="O485"/>
      <c r="P485"/>
      <c r="Q485"/>
      <c r="R485"/>
      <c r="S485"/>
    </row>
    <row r="486" spans="1:19">
      <c r="A486"/>
      <c r="B486"/>
      <c r="C486"/>
      <c r="D486"/>
      <c r="E486"/>
      <c r="F486"/>
      <c r="G486"/>
      <c r="H486"/>
      <c r="I486"/>
      <c r="J486"/>
      <c r="K486"/>
      <c r="L486"/>
      <c r="M486"/>
      <c r="N486"/>
      <c r="O486"/>
      <c r="P486"/>
      <c r="Q486"/>
      <c r="R486"/>
      <c r="S486"/>
    </row>
    <row r="487" spans="1:19">
      <c r="A487"/>
      <c r="B487"/>
      <c r="C487"/>
      <c r="D487"/>
      <c r="E487"/>
      <c r="F487"/>
      <c r="G487"/>
      <c r="H487"/>
      <c r="I487"/>
      <c r="J487"/>
      <c r="K487"/>
      <c r="L487"/>
      <c r="M487"/>
      <c r="N487"/>
      <c r="O487"/>
      <c r="P487"/>
      <c r="Q487"/>
      <c r="R487"/>
      <c r="S487"/>
    </row>
    <row r="488" spans="1:19">
      <c r="A488"/>
      <c r="B488"/>
      <c r="C488"/>
      <c r="D488"/>
      <c r="E488"/>
      <c r="F488"/>
      <c r="G488"/>
      <c r="H488"/>
      <c r="I488"/>
      <c r="J488"/>
      <c r="K488"/>
      <c r="L488"/>
      <c r="M488"/>
      <c r="N488"/>
      <c r="O488"/>
      <c r="P488"/>
      <c r="Q488"/>
      <c r="R488"/>
      <c r="S488"/>
    </row>
    <row r="489" spans="1:19">
      <c r="A489"/>
      <c r="B489"/>
      <c r="C489"/>
      <c r="D489"/>
      <c r="E489"/>
      <c r="F489"/>
      <c r="G489"/>
      <c r="H489"/>
      <c r="I489"/>
      <c r="J489"/>
      <c r="K489"/>
      <c r="L489"/>
      <c r="M489"/>
      <c r="N489"/>
      <c r="O489"/>
      <c r="P489"/>
      <c r="Q489"/>
      <c r="R489"/>
      <c r="S489"/>
    </row>
    <row r="490" spans="1:19">
      <c r="A490"/>
      <c r="B490"/>
      <c r="C490"/>
      <c r="D490"/>
      <c r="E490"/>
      <c r="F490"/>
      <c r="G490"/>
      <c r="H490"/>
      <c r="I490"/>
      <c r="J490"/>
      <c r="K490"/>
      <c r="L490"/>
      <c r="M490"/>
      <c r="N490"/>
      <c r="O490"/>
      <c r="P490"/>
      <c r="Q490"/>
      <c r="R490"/>
      <c r="S490"/>
    </row>
    <row r="491" spans="1:19">
      <c r="A491"/>
      <c r="B491"/>
      <c r="C491"/>
      <c r="D491"/>
      <c r="E491"/>
      <c r="F491"/>
      <c r="G491"/>
      <c r="H491"/>
      <c r="I491"/>
      <c r="J491"/>
      <c r="K491"/>
      <c r="L491"/>
      <c r="M491"/>
      <c r="N491"/>
      <c r="O491"/>
      <c r="P491"/>
      <c r="Q491"/>
      <c r="R491"/>
      <c r="S491"/>
    </row>
    <row r="492" spans="1:19">
      <c r="A492"/>
      <c r="B492"/>
      <c r="C492"/>
      <c r="D492"/>
      <c r="E492"/>
      <c r="F492"/>
      <c r="G492"/>
      <c r="H492"/>
      <c r="I492"/>
      <c r="J492"/>
      <c r="K492"/>
      <c r="L492"/>
      <c r="M492"/>
      <c r="N492"/>
      <c r="O492"/>
      <c r="P492"/>
      <c r="Q492"/>
      <c r="R492"/>
      <c r="S492"/>
    </row>
    <row r="493" spans="1:19">
      <c r="A493"/>
      <c r="B493"/>
      <c r="C493"/>
      <c r="D493"/>
      <c r="E493"/>
      <c r="F493"/>
      <c r="G493"/>
      <c r="H493"/>
      <c r="I493"/>
      <c r="J493"/>
      <c r="K493"/>
      <c r="L493"/>
      <c r="M493"/>
      <c r="N493"/>
      <c r="O493"/>
      <c r="P493"/>
      <c r="Q493"/>
      <c r="R493"/>
      <c r="S493"/>
    </row>
    <row r="494" spans="1:19">
      <c r="A494"/>
      <c r="B494"/>
      <c r="C494"/>
      <c r="D494"/>
      <c r="E494"/>
      <c r="F494"/>
      <c r="G494"/>
      <c r="H494"/>
      <c r="I494"/>
      <c r="J494"/>
      <c r="K494"/>
      <c r="L494"/>
      <c r="M494"/>
      <c r="N494"/>
      <c r="O494"/>
      <c r="P494"/>
      <c r="Q494"/>
      <c r="R494"/>
      <c r="S494"/>
    </row>
    <row r="495" spans="1:19">
      <c r="A495"/>
      <c r="B495"/>
      <c r="C495"/>
      <c r="D495"/>
      <c r="E495"/>
      <c r="F495"/>
      <c r="G495"/>
      <c r="H495"/>
      <c r="I495"/>
      <c r="J495"/>
      <c r="K495"/>
      <c r="L495"/>
      <c r="M495"/>
      <c r="N495"/>
      <c r="O495"/>
      <c r="P495"/>
      <c r="Q495"/>
      <c r="R495"/>
      <c r="S495"/>
    </row>
    <row r="496" spans="1:19">
      <c r="A496"/>
      <c r="B496"/>
      <c r="C496"/>
      <c r="D496"/>
      <c r="E496"/>
      <c r="F496"/>
      <c r="G496"/>
      <c r="H496"/>
      <c r="I496"/>
      <c r="J496"/>
      <c r="K496"/>
      <c r="L496"/>
      <c r="M496"/>
      <c r="N496"/>
      <c r="O496"/>
      <c r="P496"/>
      <c r="Q496"/>
      <c r="R496"/>
      <c r="S496"/>
    </row>
    <row r="497" spans="1:19">
      <c r="A497"/>
      <c r="B497"/>
      <c r="C497"/>
      <c r="D497"/>
      <c r="E497"/>
      <c r="F497"/>
      <c r="G497"/>
      <c r="H497"/>
      <c r="I497"/>
      <c r="J497"/>
      <c r="K497"/>
      <c r="L497"/>
      <c r="M497"/>
      <c r="N497"/>
      <c r="O497"/>
      <c r="P497"/>
      <c r="Q497"/>
      <c r="R497"/>
      <c r="S497"/>
    </row>
    <row r="498" spans="1:19">
      <c r="A498"/>
      <c r="B498"/>
      <c r="C498"/>
      <c r="D498"/>
      <c r="E498"/>
      <c r="F498"/>
      <c r="G498"/>
      <c r="H498"/>
      <c r="I498"/>
      <c r="J498"/>
      <c r="K498"/>
      <c r="L498"/>
      <c r="M498"/>
      <c r="N498"/>
      <c r="O498"/>
      <c r="P498"/>
      <c r="Q498"/>
      <c r="R498"/>
      <c r="S498"/>
    </row>
    <row r="499" spans="1:19">
      <c r="A499"/>
      <c r="B499"/>
      <c r="C499"/>
      <c r="D499"/>
      <c r="E499"/>
      <c r="F499"/>
      <c r="G499"/>
      <c r="H499"/>
      <c r="I499"/>
      <c r="J499"/>
      <c r="K499"/>
      <c r="L499"/>
      <c r="M499"/>
      <c r="N499"/>
      <c r="O499"/>
      <c r="P499"/>
      <c r="Q499"/>
      <c r="R499"/>
      <c r="S499"/>
    </row>
    <row r="500" spans="1:19">
      <c r="A500"/>
      <c r="B500"/>
      <c r="C500"/>
      <c r="D500"/>
      <c r="E500"/>
      <c r="F500"/>
      <c r="G500"/>
      <c r="H500"/>
      <c r="I500"/>
      <c r="J500"/>
      <c r="K500"/>
      <c r="L500"/>
      <c r="M500"/>
      <c r="N500"/>
      <c r="O500"/>
      <c r="P500"/>
      <c r="Q500"/>
      <c r="R500"/>
      <c r="S500"/>
    </row>
    <row r="501" spans="1:19">
      <c r="A501"/>
      <c r="B501"/>
      <c r="C501"/>
      <c r="D501"/>
      <c r="E501"/>
      <c r="F501"/>
      <c r="G501"/>
      <c r="H501"/>
      <c r="I501"/>
      <c r="J501"/>
      <c r="K501"/>
      <c r="L501"/>
      <c r="M501"/>
      <c r="N501"/>
      <c r="O501"/>
      <c r="P501"/>
      <c r="Q501"/>
      <c r="R501"/>
      <c r="S501"/>
    </row>
    <row r="502" spans="1:19">
      <c r="A502"/>
      <c r="B502"/>
      <c r="C502"/>
      <c r="D502"/>
      <c r="E502"/>
      <c r="F502"/>
      <c r="G502"/>
      <c r="H502"/>
      <c r="I502"/>
      <c r="J502"/>
      <c r="K502"/>
      <c r="L502"/>
      <c r="M502"/>
      <c r="N502"/>
      <c r="O502"/>
      <c r="P502"/>
      <c r="Q502"/>
      <c r="R502"/>
      <c r="S502"/>
    </row>
    <row r="503" spans="1:19">
      <c r="A503"/>
      <c r="B503"/>
      <c r="C503"/>
      <c r="D503"/>
      <c r="E503"/>
      <c r="F503"/>
      <c r="G503"/>
      <c r="H503"/>
      <c r="I503"/>
      <c r="J503"/>
      <c r="K503"/>
      <c r="L503"/>
      <c r="M503"/>
      <c r="N503"/>
      <c r="O503"/>
      <c r="P503"/>
      <c r="Q503"/>
      <c r="R503"/>
      <c r="S503"/>
    </row>
    <row r="504" spans="1:19">
      <c r="A504"/>
      <c r="B504"/>
      <c r="C504"/>
      <c r="D504"/>
      <c r="E504"/>
      <c r="F504"/>
      <c r="G504"/>
      <c r="H504"/>
      <c r="I504"/>
      <c r="J504"/>
      <c r="K504"/>
      <c r="L504"/>
      <c r="M504"/>
      <c r="N504"/>
      <c r="O504"/>
      <c r="P504"/>
      <c r="Q504"/>
      <c r="R504"/>
      <c r="S504"/>
    </row>
    <row r="505" spans="1:19">
      <c r="A505"/>
      <c r="B505"/>
      <c r="C505"/>
      <c r="D505"/>
      <c r="E505"/>
      <c r="F505"/>
      <c r="G505"/>
      <c r="H505"/>
      <c r="I505"/>
      <c r="J505"/>
      <c r="K505"/>
      <c r="L505"/>
      <c r="M505"/>
      <c r="N505"/>
      <c r="O505"/>
      <c r="P505"/>
      <c r="Q505"/>
      <c r="R505"/>
      <c r="S505"/>
    </row>
    <row r="506" spans="1:19">
      <c r="A506"/>
      <c r="B506"/>
      <c r="C506"/>
      <c r="D506"/>
      <c r="E506"/>
      <c r="F506"/>
      <c r="G506"/>
      <c r="H506"/>
      <c r="I506"/>
      <c r="J506"/>
      <c r="K506"/>
      <c r="L506"/>
      <c r="M506"/>
      <c r="N506"/>
      <c r="O506"/>
      <c r="P506"/>
      <c r="Q506"/>
      <c r="R506"/>
      <c r="S506"/>
    </row>
    <row r="507" spans="1:19">
      <c r="A507"/>
      <c r="B507"/>
      <c r="C507"/>
      <c r="D507"/>
      <c r="E507"/>
      <c r="F507"/>
      <c r="G507"/>
      <c r="H507"/>
      <c r="I507"/>
      <c r="J507"/>
      <c r="K507"/>
      <c r="L507"/>
      <c r="M507"/>
      <c r="N507"/>
      <c r="O507"/>
      <c r="P507"/>
      <c r="Q507"/>
      <c r="R507"/>
      <c r="S507"/>
    </row>
    <row r="508" spans="1:19">
      <c r="A508"/>
      <c r="B508"/>
      <c r="C508"/>
      <c r="D508"/>
      <c r="E508"/>
      <c r="F508"/>
      <c r="G508"/>
      <c r="H508"/>
      <c r="I508"/>
      <c r="J508"/>
      <c r="K508"/>
      <c r="L508"/>
      <c r="M508"/>
      <c r="N508"/>
      <c r="O508"/>
      <c r="P508"/>
      <c r="Q508"/>
      <c r="R508"/>
      <c r="S508"/>
    </row>
    <row r="509" spans="1:19">
      <c r="A509"/>
      <c r="B509"/>
      <c r="C509"/>
      <c r="D509"/>
      <c r="E509"/>
      <c r="F509"/>
      <c r="G509"/>
      <c r="H509"/>
      <c r="I509"/>
      <c r="J509"/>
      <c r="K509"/>
      <c r="L509"/>
      <c r="M509"/>
      <c r="N509"/>
      <c r="O509"/>
      <c r="P509"/>
      <c r="Q509"/>
      <c r="R509"/>
      <c r="S509"/>
    </row>
    <row r="510" spans="1:19">
      <c r="A510"/>
      <c r="B510"/>
      <c r="C510"/>
      <c r="D510"/>
      <c r="E510"/>
      <c r="F510"/>
      <c r="G510"/>
      <c r="H510"/>
      <c r="I510"/>
      <c r="J510"/>
      <c r="K510"/>
      <c r="L510"/>
      <c r="M510"/>
      <c r="N510"/>
      <c r="O510"/>
      <c r="P510"/>
      <c r="Q510"/>
      <c r="R510"/>
      <c r="S510"/>
    </row>
    <row r="511" spans="1:19">
      <c r="A511"/>
      <c r="B511"/>
      <c r="C511"/>
      <c r="D511"/>
      <c r="E511"/>
      <c r="F511"/>
      <c r="G511"/>
      <c r="H511"/>
      <c r="I511"/>
      <c r="J511"/>
      <c r="K511"/>
      <c r="L511"/>
      <c r="M511"/>
      <c r="N511"/>
      <c r="O511"/>
      <c r="P511"/>
      <c r="Q511"/>
      <c r="R511"/>
      <c r="S511"/>
    </row>
    <row r="512" spans="1:19">
      <c r="A512"/>
      <c r="B512"/>
      <c r="C512"/>
      <c r="D512"/>
      <c r="E512"/>
      <c r="F512"/>
      <c r="G512"/>
      <c r="H512"/>
      <c r="I512"/>
      <c r="J512"/>
      <c r="K512"/>
      <c r="L512"/>
      <c r="M512"/>
      <c r="N512"/>
      <c r="O512"/>
      <c r="P512"/>
      <c r="Q512"/>
      <c r="R512"/>
      <c r="S512"/>
    </row>
    <row r="513" spans="1:19">
      <c r="A513"/>
      <c r="B513"/>
      <c r="C513"/>
      <c r="D513"/>
      <c r="E513"/>
      <c r="F513"/>
      <c r="G513"/>
      <c r="H513"/>
      <c r="I513"/>
      <c r="J513"/>
      <c r="K513"/>
      <c r="L513"/>
      <c r="M513"/>
      <c r="N513"/>
      <c r="O513"/>
      <c r="P513"/>
      <c r="Q513"/>
      <c r="R513"/>
      <c r="S513"/>
    </row>
    <row r="514" spans="1:19">
      <c r="A514"/>
      <c r="B514"/>
      <c r="C514"/>
      <c r="D514"/>
      <c r="E514"/>
      <c r="F514"/>
      <c r="G514"/>
      <c r="H514"/>
      <c r="I514"/>
      <c r="J514"/>
      <c r="K514"/>
      <c r="L514"/>
      <c r="M514"/>
      <c r="N514"/>
      <c r="O514"/>
      <c r="P514"/>
      <c r="Q514"/>
      <c r="R514"/>
      <c r="S514"/>
    </row>
    <row r="515" spans="1:19">
      <c r="A515"/>
      <c r="B515"/>
      <c r="C515"/>
      <c r="D515"/>
      <c r="E515"/>
      <c r="F515"/>
      <c r="G515"/>
      <c r="H515"/>
      <c r="I515"/>
      <c r="J515"/>
      <c r="K515"/>
      <c r="L515"/>
      <c r="M515"/>
      <c r="N515"/>
      <c r="O515"/>
      <c r="P515"/>
      <c r="Q515"/>
      <c r="R515"/>
      <c r="S515"/>
    </row>
    <row r="516" spans="1:19">
      <c r="A516"/>
      <c r="B516"/>
      <c r="C516"/>
      <c r="D516"/>
      <c r="E516"/>
      <c r="F516"/>
      <c r="G516"/>
      <c r="H516"/>
      <c r="I516"/>
      <c r="J516"/>
      <c r="K516"/>
      <c r="L516"/>
      <c r="M516"/>
      <c r="N516"/>
      <c r="O516"/>
      <c r="P516"/>
      <c r="Q516"/>
      <c r="R516"/>
      <c r="S516"/>
    </row>
    <row r="517" spans="1:19">
      <c r="A517"/>
      <c r="B517"/>
      <c r="C517"/>
      <c r="D517"/>
      <c r="E517"/>
      <c r="F517"/>
      <c r="G517"/>
      <c r="H517"/>
      <c r="I517"/>
      <c r="J517"/>
      <c r="K517"/>
      <c r="L517"/>
      <c r="M517"/>
      <c r="N517"/>
      <c r="O517"/>
      <c r="P517"/>
      <c r="Q517"/>
      <c r="R517"/>
      <c r="S517"/>
    </row>
    <row r="518" spans="1:19">
      <c r="A518"/>
      <c r="B518"/>
      <c r="C518"/>
      <c r="D518"/>
      <c r="E518"/>
      <c r="F518"/>
      <c r="G518"/>
      <c r="H518"/>
      <c r="I518"/>
      <c r="J518"/>
      <c r="K518"/>
      <c r="L518"/>
      <c r="M518"/>
      <c r="N518"/>
      <c r="O518"/>
      <c r="P518"/>
      <c r="Q518"/>
      <c r="R518"/>
      <c r="S518"/>
    </row>
    <row r="519" spans="1:19">
      <c r="A519"/>
      <c r="B519"/>
      <c r="C519"/>
      <c r="D519"/>
      <c r="E519"/>
      <c r="F519"/>
      <c r="G519"/>
      <c r="H519"/>
      <c r="I519"/>
      <c r="J519"/>
      <c r="K519"/>
      <c r="L519"/>
      <c r="M519"/>
      <c r="N519"/>
      <c r="O519"/>
      <c r="P519"/>
      <c r="Q519"/>
      <c r="R519"/>
      <c r="S519"/>
    </row>
    <row r="520" spans="1:19">
      <c r="A520"/>
      <c r="B520"/>
      <c r="C520"/>
      <c r="D520"/>
      <c r="E520"/>
      <c r="F520"/>
      <c r="G520"/>
      <c r="H520"/>
      <c r="I520"/>
      <c r="J520"/>
      <c r="K520"/>
      <c r="L520"/>
      <c r="M520"/>
      <c r="N520"/>
      <c r="O520"/>
      <c r="P520"/>
      <c r="Q520"/>
      <c r="R520"/>
      <c r="S520"/>
    </row>
    <row r="521" spans="1:19">
      <c r="A521"/>
      <c r="B521"/>
      <c r="C521"/>
      <c r="D521"/>
      <c r="E521"/>
      <c r="F521"/>
      <c r="G521"/>
      <c r="H521"/>
      <c r="I521"/>
      <c r="J521"/>
      <c r="K521"/>
      <c r="L521"/>
      <c r="M521"/>
      <c r="N521"/>
      <c r="O521"/>
      <c r="P521"/>
      <c r="Q521"/>
      <c r="R521"/>
      <c r="S521"/>
    </row>
    <row r="522" spans="1:19">
      <c r="A522"/>
      <c r="B522"/>
      <c r="C522"/>
      <c r="D522"/>
      <c r="E522"/>
      <c r="F522"/>
      <c r="G522"/>
      <c r="H522"/>
      <c r="I522"/>
      <c r="J522"/>
      <c r="K522"/>
      <c r="L522"/>
      <c r="M522"/>
      <c r="N522"/>
      <c r="O522"/>
      <c r="P522"/>
      <c r="Q522"/>
      <c r="R522"/>
      <c r="S522"/>
    </row>
    <row r="523" spans="1:19">
      <c r="A523"/>
      <c r="B523"/>
      <c r="C523"/>
      <c r="D523"/>
      <c r="E523"/>
      <c r="F523"/>
      <c r="G523"/>
      <c r="H523"/>
      <c r="I523"/>
      <c r="J523"/>
      <c r="K523"/>
      <c r="L523"/>
      <c r="M523"/>
      <c r="N523"/>
      <c r="O523"/>
      <c r="P523"/>
      <c r="Q523"/>
      <c r="R523"/>
      <c r="S523"/>
    </row>
    <row r="524" spans="1:19">
      <c r="A524"/>
      <c r="B524"/>
      <c r="C524"/>
      <c r="D524"/>
      <c r="E524"/>
      <c r="F524"/>
      <c r="G524"/>
      <c r="H524"/>
      <c r="I524"/>
      <c r="J524"/>
      <c r="K524"/>
      <c r="L524"/>
      <c r="M524"/>
      <c r="N524"/>
      <c r="O524"/>
      <c r="P524"/>
      <c r="Q524"/>
      <c r="R524"/>
      <c r="S524"/>
    </row>
    <row r="525" spans="1:19">
      <c r="A525"/>
      <c r="B525"/>
      <c r="C525"/>
      <c r="D525"/>
      <c r="E525"/>
      <c r="F525"/>
      <c r="G525"/>
      <c r="H525"/>
      <c r="I525"/>
      <c r="J525"/>
      <c r="K525"/>
      <c r="L525"/>
      <c r="M525"/>
      <c r="N525"/>
      <c r="O525"/>
      <c r="P525"/>
      <c r="Q525"/>
      <c r="R525"/>
      <c r="S525"/>
    </row>
    <row r="526" spans="1:19">
      <c r="A526"/>
      <c r="B526"/>
      <c r="C526"/>
      <c r="D526"/>
      <c r="E526"/>
      <c r="F526"/>
      <c r="G526"/>
      <c r="H526"/>
      <c r="I526"/>
      <c r="J526"/>
      <c r="K526"/>
      <c r="L526"/>
      <c r="M526"/>
      <c r="N526"/>
      <c r="O526"/>
      <c r="P526"/>
      <c r="Q526"/>
      <c r="R526"/>
      <c r="S526"/>
    </row>
    <row r="527" spans="1:19">
      <c r="A527"/>
      <c r="B527"/>
      <c r="C527"/>
      <c r="D527"/>
      <c r="E527"/>
      <c r="F527"/>
      <c r="G527"/>
      <c r="H527"/>
      <c r="I527"/>
      <c r="J527"/>
      <c r="K527"/>
      <c r="L527"/>
      <c r="M527"/>
      <c r="N527"/>
      <c r="O527"/>
      <c r="P527"/>
      <c r="Q527"/>
      <c r="R527"/>
      <c r="S527"/>
    </row>
    <row r="528" spans="1:19">
      <c r="A528"/>
      <c r="B528"/>
      <c r="C528"/>
      <c r="D528"/>
      <c r="E528"/>
      <c r="F528"/>
      <c r="G528"/>
      <c r="H528"/>
      <c r="I528"/>
      <c r="J528"/>
      <c r="K528"/>
      <c r="L528"/>
      <c r="M528"/>
      <c r="N528"/>
      <c r="O528"/>
      <c r="P528"/>
      <c r="Q528"/>
      <c r="R528"/>
      <c r="S528"/>
    </row>
    <row r="529" spans="1:19">
      <c r="A529"/>
      <c r="B529"/>
      <c r="C529"/>
      <c r="D529"/>
      <c r="E529"/>
      <c r="F529"/>
      <c r="G529"/>
      <c r="H529"/>
      <c r="I529"/>
      <c r="J529"/>
      <c r="K529"/>
      <c r="L529"/>
      <c r="M529"/>
      <c r="N529"/>
      <c r="O529"/>
      <c r="P529"/>
      <c r="Q529"/>
      <c r="R529"/>
      <c r="S529"/>
    </row>
    <row r="530" spans="1:19">
      <c r="A530"/>
      <c r="B530"/>
      <c r="C530"/>
      <c r="D530"/>
      <c r="E530"/>
      <c r="F530"/>
      <c r="G530"/>
      <c r="H530"/>
      <c r="I530"/>
      <c r="J530"/>
      <c r="K530"/>
      <c r="L530"/>
      <c r="M530"/>
      <c r="N530"/>
      <c r="O530"/>
      <c r="P530"/>
      <c r="Q530"/>
      <c r="R530"/>
      <c r="S530"/>
    </row>
    <row r="531" spans="1:19">
      <c r="A531"/>
      <c r="B531"/>
      <c r="C531"/>
      <c r="D531"/>
      <c r="E531"/>
      <c r="F531"/>
      <c r="G531"/>
      <c r="H531"/>
      <c r="I531"/>
      <c r="J531"/>
      <c r="K531"/>
      <c r="L531"/>
      <c r="M531"/>
      <c r="N531"/>
      <c r="O531"/>
      <c r="P531"/>
      <c r="Q531"/>
      <c r="R531"/>
      <c r="S531"/>
    </row>
    <row r="532" spans="1:19">
      <c r="A532"/>
      <c r="B532"/>
      <c r="C532"/>
      <c r="D532"/>
      <c r="E532"/>
      <c r="F532"/>
      <c r="G532"/>
      <c r="H532"/>
      <c r="I532"/>
      <c r="J532"/>
      <c r="K532"/>
      <c r="L532"/>
      <c r="M532"/>
      <c r="N532"/>
      <c r="O532"/>
      <c r="P532"/>
      <c r="Q532"/>
      <c r="R532"/>
      <c r="S532"/>
    </row>
    <row r="533" spans="1:19">
      <c r="A533"/>
      <c r="B533"/>
      <c r="C533"/>
      <c r="D533"/>
      <c r="E533"/>
      <c r="F533"/>
      <c r="G533"/>
      <c r="H533"/>
      <c r="I533"/>
      <c r="J533"/>
      <c r="K533"/>
      <c r="L533"/>
      <c r="M533"/>
      <c r="N533"/>
      <c r="O533"/>
      <c r="P533"/>
      <c r="Q533"/>
      <c r="R533"/>
      <c r="S533"/>
    </row>
    <row r="534" spans="1:19">
      <c r="A534"/>
      <c r="B534"/>
      <c r="C534"/>
      <c r="D534"/>
      <c r="E534"/>
      <c r="F534"/>
      <c r="G534"/>
      <c r="H534"/>
      <c r="I534"/>
      <c r="J534"/>
      <c r="K534"/>
      <c r="L534"/>
      <c r="M534"/>
      <c r="N534"/>
      <c r="O534"/>
      <c r="P534"/>
      <c r="Q534"/>
      <c r="R534"/>
      <c r="S534"/>
    </row>
    <row r="535" spans="1:19">
      <c r="A535"/>
      <c r="B535"/>
      <c r="C535"/>
      <c r="D535"/>
      <c r="E535"/>
      <c r="F535"/>
      <c r="G535"/>
      <c r="H535"/>
      <c r="I535"/>
      <c r="J535"/>
      <c r="K535"/>
      <c r="L535"/>
      <c r="M535"/>
      <c r="N535"/>
      <c r="O535"/>
      <c r="P535"/>
      <c r="Q535"/>
      <c r="R535"/>
      <c r="S535"/>
    </row>
    <row r="536" spans="1:19">
      <c r="A536"/>
      <c r="B536"/>
      <c r="C536"/>
      <c r="D536"/>
      <c r="E536"/>
      <c r="F536"/>
      <c r="G536"/>
      <c r="H536"/>
      <c r="I536"/>
      <c r="J536"/>
      <c r="K536"/>
      <c r="L536"/>
      <c r="M536"/>
      <c r="N536"/>
      <c r="O536"/>
      <c r="P536"/>
      <c r="Q536"/>
      <c r="R536"/>
      <c r="S536"/>
    </row>
    <row r="537" spans="1:19">
      <c r="A537"/>
      <c r="B537"/>
      <c r="C537"/>
      <c r="D537"/>
      <c r="E537"/>
      <c r="F537"/>
      <c r="G537"/>
      <c r="H537"/>
      <c r="I537"/>
      <c r="J537"/>
      <c r="K537"/>
      <c r="L537"/>
      <c r="M537"/>
      <c r="N537"/>
      <c r="O537"/>
      <c r="P537"/>
      <c r="Q537"/>
      <c r="R537"/>
      <c r="S537"/>
    </row>
    <row r="538" spans="1:19">
      <c r="A538"/>
      <c r="B538"/>
      <c r="C538"/>
      <c r="D538"/>
      <c r="E538"/>
      <c r="F538"/>
      <c r="G538"/>
      <c r="H538"/>
      <c r="I538"/>
      <c r="J538"/>
      <c r="K538"/>
      <c r="L538"/>
      <c r="M538"/>
      <c r="N538"/>
      <c r="O538"/>
      <c r="P538"/>
      <c r="Q538"/>
      <c r="R538"/>
      <c r="S538"/>
    </row>
    <row r="539" spans="1:19">
      <c r="A539"/>
      <c r="B539"/>
      <c r="C539"/>
      <c r="D539"/>
      <c r="E539"/>
      <c r="F539"/>
      <c r="G539"/>
      <c r="H539"/>
      <c r="I539"/>
      <c r="J539"/>
      <c r="K539"/>
      <c r="L539"/>
      <c r="M539"/>
      <c r="N539"/>
      <c r="O539"/>
      <c r="P539"/>
      <c r="Q539"/>
      <c r="R539"/>
      <c r="S539"/>
    </row>
    <row r="540" spans="1:19">
      <c r="A540"/>
      <c r="B540"/>
      <c r="C540"/>
      <c r="D540"/>
      <c r="E540"/>
      <c r="F540"/>
      <c r="G540"/>
      <c r="H540"/>
      <c r="I540"/>
      <c r="J540"/>
      <c r="K540"/>
      <c r="L540"/>
      <c r="M540"/>
      <c r="N540"/>
      <c r="O540"/>
      <c r="P540"/>
      <c r="Q540"/>
      <c r="R540"/>
      <c r="S540"/>
    </row>
    <row r="541" spans="1:19">
      <c r="A541"/>
      <c r="B541"/>
      <c r="C541"/>
      <c r="D541"/>
      <c r="E541"/>
      <c r="F541"/>
      <c r="G541"/>
      <c r="H541"/>
      <c r="I541"/>
      <c r="J541"/>
      <c r="K541"/>
      <c r="L541"/>
      <c r="M541"/>
      <c r="N541"/>
      <c r="O541"/>
      <c r="P541"/>
      <c r="Q541"/>
      <c r="R541"/>
      <c r="S541"/>
    </row>
    <row r="542" spans="1:19">
      <c r="A542"/>
      <c r="B542"/>
      <c r="C542"/>
      <c r="D542"/>
      <c r="E542"/>
      <c r="F542"/>
      <c r="G542"/>
      <c r="H542"/>
      <c r="I542"/>
      <c r="J542"/>
      <c r="K542"/>
      <c r="L542"/>
      <c r="M542"/>
      <c r="N542"/>
      <c r="O542"/>
      <c r="P542"/>
      <c r="Q542"/>
      <c r="R542"/>
      <c r="S542"/>
    </row>
    <row r="543" spans="1:19">
      <c r="A543"/>
      <c r="B543"/>
      <c r="C543"/>
      <c r="D543"/>
      <c r="E543"/>
      <c r="F543"/>
      <c r="G543"/>
      <c r="H543"/>
      <c r="I543"/>
      <c r="J543"/>
      <c r="K543"/>
      <c r="L543"/>
      <c r="M543"/>
      <c r="N543"/>
      <c r="O543"/>
      <c r="P543"/>
      <c r="Q543"/>
      <c r="R543"/>
      <c r="S543"/>
    </row>
    <row r="544" spans="1:19">
      <c r="A544"/>
      <c r="B544"/>
      <c r="C544"/>
      <c r="D544"/>
      <c r="E544"/>
      <c r="F544"/>
      <c r="G544"/>
      <c r="H544"/>
      <c r="I544"/>
      <c r="J544"/>
      <c r="K544"/>
      <c r="L544"/>
      <c r="M544"/>
      <c r="N544"/>
      <c r="O544"/>
      <c r="P544"/>
      <c r="Q544"/>
      <c r="R544"/>
      <c r="S544"/>
    </row>
    <row r="545" spans="1:19">
      <c r="A545"/>
      <c r="B545"/>
      <c r="C545"/>
      <c r="D545"/>
      <c r="E545"/>
      <c r="F545"/>
      <c r="G545"/>
      <c r="H545"/>
      <c r="I545"/>
      <c r="J545"/>
      <c r="K545"/>
      <c r="L545"/>
      <c r="M545"/>
      <c r="N545"/>
      <c r="O545"/>
      <c r="P545"/>
      <c r="Q545"/>
      <c r="R545"/>
      <c r="S545"/>
    </row>
    <row r="546" spans="1:19">
      <c r="A546"/>
      <c r="B546"/>
      <c r="C546"/>
      <c r="D546"/>
      <c r="E546"/>
      <c r="F546"/>
      <c r="G546"/>
      <c r="H546"/>
      <c r="I546"/>
      <c r="J546"/>
      <c r="K546"/>
      <c r="L546"/>
      <c r="M546"/>
      <c r="N546"/>
      <c r="O546"/>
      <c r="P546"/>
      <c r="Q546"/>
      <c r="R546"/>
      <c r="S546"/>
    </row>
    <row r="547" spans="1:19">
      <c r="A547"/>
      <c r="B547"/>
      <c r="C547"/>
      <c r="D547"/>
      <c r="E547"/>
      <c r="F547"/>
      <c r="G547"/>
      <c r="H547"/>
      <c r="I547"/>
      <c r="J547"/>
      <c r="K547"/>
      <c r="L547"/>
      <c r="M547"/>
      <c r="N547"/>
      <c r="O547"/>
      <c r="P547"/>
      <c r="Q547"/>
      <c r="R547"/>
      <c r="S547"/>
    </row>
    <row r="548" spans="1:19">
      <c r="A548"/>
      <c r="B548"/>
      <c r="C548"/>
      <c r="D548"/>
      <c r="E548"/>
      <c r="F548"/>
      <c r="G548"/>
      <c r="H548"/>
      <c r="I548"/>
      <c r="J548"/>
      <c r="K548"/>
      <c r="L548"/>
      <c r="M548"/>
      <c r="N548"/>
      <c r="O548"/>
      <c r="P548"/>
      <c r="Q548"/>
      <c r="R548"/>
      <c r="S548"/>
    </row>
    <row r="549" spans="1:19">
      <c r="A549"/>
      <c r="B549"/>
      <c r="C549"/>
      <c r="D549"/>
      <c r="E549"/>
      <c r="F549"/>
      <c r="G549"/>
      <c r="H549"/>
      <c r="I549"/>
      <c r="J549"/>
      <c r="K549"/>
      <c r="L549"/>
      <c r="M549"/>
      <c r="N549"/>
      <c r="O549"/>
      <c r="P549"/>
      <c r="Q549"/>
      <c r="R549"/>
      <c r="S549"/>
    </row>
    <row r="550" spans="1:19">
      <c r="A550"/>
      <c r="B550"/>
      <c r="C550"/>
      <c r="D550"/>
      <c r="E550"/>
      <c r="F550"/>
      <c r="G550"/>
      <c r="H550"/>
      <c r="I550"/>
      <c r="J550"/>
      <c r="K550"/>
      <c r="L550"/>
      <c r="M550"/>
      <c r="N550"/>
      <c r="O550"/>
      <c r="P550"/>
      <c r="Q550"/>
      <c r="R550"/>
      <c r="S550"/>
    </row>
    <row r="551" spans="1:19">
      <c r="A551"/>
      <c r="B551"/>
      <c r="C551"/>
      <c r="D551"/>
      <c r="E551"/>
      <c r="F551"/>
      <c r="G551"/>
      <c r="H551"/>
      <c r="I551"/>
      <c r="J551"/>
      <c r="K551"/>
      <c r="L551"/>
      <c r="M551"/>
      <c r="N551"/>
      <c r="O551"/>
      <c r="P551"/>
      <c r="Q551"/>
      <c r="R551"/>
      <c r="S551"/>
    </row>
    <row r="552" spans="1:19">
      <c r="A552"/>
      <c r="B552"/>
      <c r="C552"/>
      <c r="D552"/>
      <c r="E552"/>
      <c r="F552"/>
      <c r="G552"/>
      <c r="H552"/>
      <c r="I552"/>
      <c r="J552"/>
      <c r="K552"/>
      <c r="L552"/>
      <c r="M552"/>
      <c r="N552"/>
      <c r="O552"/>
      <c r="P552"/>
      <c r="Q552"/>
      <c r="R552"/>
      <c r="S552"/>
    </row>
    <row r="553" spans="1:19">
      <c r="A553"/>
      <c r="B553"/>
      <c r="C553"/>
      <c r="D553"/>
      <c r="E553"/>
      <c r="F553"/>
      <c r="G553"/>
      <c r="H553"/>
      <c r="I553"/>
      <c r="J553"/>
      <c r="K553"/>
      <c r="L553"/>
      <c r="M553"/>
      <c r="N553"/>
      <c r="O553"/>
      <c r="P553"/>
      <c r="Q553"/>
      <c r="R553"/>
      <c r="S553"/>
    </row>
    <row r="554" spans="1:19">
      <c r="A554"/>
      <c r="B554"/>
      <c r="C554"/>
      <c r="D554"/>
      <c r="E554"/>
      <c r="F554"/>
      <c r="G554"/>
      <c r="H554"/>
      <c r="I554"/>
      <c r="J554"/>
      <c r="K554"/>
      <c r="L554"/>
      <c r="M554"/>
      <c r="N554"/>
      <c r="O554"/>
      <c r="P554"/>
      <c r="Q554"/>
      <c r="R554"/>
      <c r="S554"/>
    </row>
    <row r="555" spans="1:19">
      <c r="A555"/>
      <c r="B555"/>
      <c r="C555"/>
      <c r="D555"/>
      <c r="E555"/>
      <c r="F555"/>
      <c r="G555"/>
      <c r="H555"/>
      <c r="I555"/>
      <c r="J555"/>
      <c r="K555"/>
      <c r="L555"/>
      <c r="M555"/>
      <c r="N555"/>
      <c r="O555"/>
      <c r="P555"/>
      <c r="Q555"/>
      <c r="R555"/>
      <c r="S555"/>
    </row>
    <row r="556" spans="1:19">
      <c r="A556"/>
      <c r="B556"/>
      <c r="C556"/>
      <c r="D556"/>
      <c r="E556"/>
      <c r="F556"/>
      <c r="G556"/>
      <c r="H556"/>
      <c r="I556"/>
      <c r="J556"/>
      <c r="K556"/>
      <c r="L556"/>
      <c r="M556"/>
      <c r="N556"/>
      <c r="O556"/>
      <c r="P556"/>
      <c r="Q556"/>
      <c r="R556"/>
      <c r="S556"/>
    </row>
    <row r="557" spans="1:19">
      <c r="A557"/>
      <c r="B557"/>
      <c r="C557"/>
      <c r="D557"/>
      <c r="E557"/>
      <c r="F557"/>
      <c r="G557"/>
      <c r="H557"/>
      <c r="I557"/>
      <c r="J557"/>
      <c r="K557"/>
      <c r="L557"/>
      <c r="M557"/>
      <c r="N557"/>
      <c r="O557"/>
      <c r="P557"/>
      <c r="Q557"/>
      <c r="R557"/>
      <c r="S557"/>
    </row>
    <row r="558" spans="1:19">
      <c r="A558"/>
      <c r="B558"/>
      <c r="C558"/>
      <c r="D558"/>
      <c r="E558"/>
      <c r="F558"/>
      <c r="G558"/>
      <c r="H558"/>
      <c r="I558"/>
      <c r="J558"/>
      <c r="K558"/>
      <c r="L558"/>
      <c r="M558"/>
      <c r="N558"/>
      <c r="O558"/>
      <c r="P558"/>
      <c r="Q558"/>
      <c r="R558"/>
      <c r="S558"/>
    </row>
    <row r="559" spans="1:19">
      <c r="A559"/>
      <c r="B559"/>
      <c r="C559"/>
      <c r="D559"/>
      <c r="E559"/>
      <c r="F559"/>
      <c r="G559"/>
      <c r="H559"/>
      <c r="I559"/>
      <c r="J559"/>
      <c r="K559"/>
      <c r="L559"/>
      <c r="M559"/>
      <c r="N559"/>
      <c r="O559"/>
      <c r="P559"/>
      <c r="Q559"/>
      <c r="R559"/>
      <c r="S559"/>
    </row>
    <row r="560" spans="1:19">
      <c r="A560"/>
      <c r="B560"/>
      <c r="C560"/>
      <c r="D560"/>
      <c r="E560"/>
      <c r="F560"/>
      <c r="G560"/>
      <c r="H560"/>
      <c r="I560"/>
      <c r="J560"/>
      <c r="K560"/>
      <c r="L560"/>
      <c r="M560"/>
      <c r="N560"/>
      <c r="O560"/>
      <c r="P560"/>
      <c r="Q560"/>
      <c r="R560"/>
      <c r="S560"/>
    </row>
    <row r="561" spans="1:19">
      <c r="A561"/>
      <c r="B561"/>
      <c r="C561"/>
      <c r="D561"/>
      <c r="E561"/>
      <c r="F561"/>
      <c r="G561"/>
      <c r="H561"/>
      <c r="I561"/>
      <c r="J561"/>
      <c r="K561"/>
      <c r="L561"/>
      <c r="M561"/>
      <c r="N561"/>
      <c r="O561"/>
      <c r="P561"/>
      <c r="Q561"/>
      <c r="R561"/>
      <c r="S561"/>
    </row>
    <row r="562" spans="1:19">
      <c r="A562"/>
      <c r="B562"/>
      <c r="C562"/>
      <c r="D562"/>
      <c r="E562"/>
      <c r="F562"/>
      <c r="G562"/>
      <c r="H562"/>
      <c r="I562"/>
      <c r="J562"/>
      <c r="K562"/>
      <c r="L562"/>
      <c r="M562"/>
      <c r="N562"/>
      <c r="O562"/>
      <c r="P562"/>
      <c r="Q562"/>
      <c r="R562"/>
      <c r="S562"/>
    </row>
    <row r="563" spans="1:19">
      <c r="A563"/>
      <c r="B563"/>
      <c r="C563"/>
      <c r="D563"/>
      <c r="E563"/>
      <c r="F563"/>
      <c r="G563"/>
      <c r="H563"/>
      <c r="I563"/>
      <c r="J563"/>
      <c r="K563"/>
      <c r="L563"/>
      <c r="M563"/>
      <c r="N563"/>
      <c r="O563"/>
      <c r="P563"/>
      <c r="Q563"/>
      <c r="R563"/>
      <c r="S563"/>
    </row>
    <row r="564" spans="1:19">
      <c r="A564"/>
      <c r="B564"/>
      <c r="C564"/>
      <c r="D564"/>
      <c r="E564"/>
      <c r="F564"/>
      <c r="G564"/>
      <c r="H564"/>
      <c r="I564"/>
      <c r="J564"/>
      <c r="K564"/>
      <c r="L564"/>
      <c r="M564"/>
      <c r="N564"/>
      <c r="O564"/>
      <c r="P564"/>
      <c r="Q564"/>
      <c r="R564"/>
      <c r="S564"/>
    </row>
    <row r="565" spans="1:19">
      <c r="A565"/>
      <c r="B565"/>
      <c r="C565"/>
      <c r="D565"/>
      <c r="E565"/>
      <c r="F565"/>
      <c r="G565"/>
      <c r="H565"/>
      <c r="I565"/>
      <c r="J565"/>
      <c r="K565"/>
      <c r="L565"/>
      <c r="M565"/>
      <c r="N565"/>
      <c r="O565"/>
      <c r="P565"/>
      <c r="Q565"/>
      <c r="R565"/>
      <c r="S565"/>
    </row>
    <row r="566" spans="1:19">
      <c r="A566"/>
      <c r="B566"/>
      <c r="C566"/>
      <c r="D566"/>
      <c r="E566"/>
      <c r="F566"/>
      <c r="G566"/>
      <c r="H566"/>
      <c r="I566"/>
      <c r="J566"/>
      <c r="K566"/>
      <c r="L566"/>
      <c r="M566"/>
      <c r="N566"/>
      <c r="O566"/>
      <c r="P566"/>
      <c r="Q566"/>
      <c r="R566"/>
      <c r="S566"/>
    </row>
    <row r="567" spans="1:19">
      <c r="A567"/>
      <c r="B567"/>
      <c r="C567"/>
      <c r="D567"/>
      <c r="E567"/>
      <c r="F567"/>
      <c r="G567"/>
      <c r="H567"/>
      <c r="I567"/>
      <c r="J567"/>
      <c r="K567"/>
      <c r="L567"/>
      <c r="M567"/>
      <c r="N567"/>
      <c r="O567"/>
      <c r="P567"/>
      <c r="Q567"/>
      <c r="R567"/>
      <c r="S567"/>
    </row>
    <row r="568" spans="1:19">
      <c r="A568"/>
      <c r="B568"/>
      <c r="C568"/>
      <c r="D568"/>
      <c r="E568"/>
      <c r="F568"/>
      <c r="G568"/>
      <c r="H568"/>
      <c r="I568"/>
      <c r="J568"/>
      <c r="K568"/>
      <c r="L568"/>
      <c r="M568"/>
      <c r="N568"/>
      <c r="O568"/>
      <c r="P568"/>
      <c r="Q568"/>
      <c r="R568"/>
      <c r="S568"/>
    </row>
    <row r="569" spans="1:19">
      <c r="A569"/>
      <c r="B569"/>
      <c r="C569"/>
      <c r="D569"/>
      <c r="E569"/>
      <c r="F569"/>
      <c r="G569"/>
      <c r="H569"/>
      <c r="I569"/>
      <c r="J569"/>
      <c r="K569"/>
      <c r="L569"/>
      <c r="M569"/>
      <c r="N569"/>
      <c r="O569"/>
      <c r="P569"/>
      <c r="Q569"/>
      <c r="R569"/>
      <c r="S569"/>
    </row>
    <row r="570" spans="1:19">
      <c r="A570"/>
      <c r="B570"/>
      <c r="C570"/>
      <c r="D570"/>
      <c r="E570"/>
      <c r="F570"/>
      <c r="G570"/>
      <c r="H570"/>
      <c r="I570"/>
      <c r="J570"/>
      <c r="K570"/>
      <c r="L570"/>
      <c r="M570"/>
      <c r="N570"/>
      <c r="O570"/>
      <c r="P570"/>
      <c r="Q570"/>
      <c r="R570"/>
      <c r="S570"/>
    </row>
    <row r="571" spans="1:19">
      <c r="A571"/>
      <c r="B571"/>
      <c r="C571"/>
      <c r="D571"/>
      <c r="E571"/>
      <c r="F571"/>
      <c r="G571"/>
      <c r="H571"/>
      <c r="I571"/>
      <c r="J571"/>
      <c r="K571"/>
      <c r="L571"/>
      <c r="M571"/>
      <c r="N571"/>
      <c r="O571"/>
      <c r="P571"/>
      <c r="Q571"/>
      <c r="R571"/>
      <c r="S571"/>
    </row>
    <row r="572" spans="1:19">
      <c r="A572"/>
      <c r="B572"/>
      <c r="C572"/>
      <c r="D572"/>
      <c r="E572"/>
      <c r="F572"/>
      <c r="G572"/>
      <c r="H572"/>
      <c r="I572"/>
      <c r="J572"/>
      <c r="K572"/>
      <c r="L572"/>
      <c r="M572"/>
      <c r="N572"/>
      <c r="O572"/>
      <c r="P572"/>
      <c r="Q572"/>
      <c r="R572"/>
      <c r="S572"/>
    </row>
    <row r="573" spans="1:19">
      <c r="A573"/>
      <c r="B573"/>
      <c r="C573"/>
      <c r="D573"/>
      <c r="E573"/>
      <c r="F573"/>
      <c r="G573"/>
      <c r="H573"/>
      <c r="I573"/>
      <c r="J573"/>
      <c r="K573"/>
      <c r="L573"/>
      <c r="M573"/>
      <c r="N573"/>
      <c r="O573"/>
      <c r="P573"/>
      <c r="Q573"/>
      <c r="R573"/>
      <c r="S573"/>
    </row>
    <row r="574" spans="1:19">
      <c r="A574"/>
      <c r="B574"/>
      <c r="C574"/>
      <c r="D574"/>
      <c r="E574"/>
      <c r="F574"/>
      <c r="G574"/>
      <c r="H574"/>
      <c r="I574"/>
      <c r="J574"/>
      <c r="K574"/>
      <c r="L574"/>
      <c r="M574"/>
      <c r="N574"/>
      <c r="O574"/>
      <c r="P574"/>
      <c r="Q574"/>
      <c r="R574"/>
      <c r="S574"/>
    </row>
    <row r="575" spans="1:19">
      <c r="A575"/>
      <c r="B575"/>
      <c r="C575"/>
      <c r="D575"/>
      <c r="E575"/>
      <c r="F575"/>
      <c r="G575"/>
      <c r="H575"/>
      <c r="I575"/>
      <c r="J575"/>
      <c r="K575"/>
      <c r="L575"/>
      <c r="M575"/>
      <c r="N575"/>
      <c r="O575"/>
      <c r="P575"/>
      <c r="Q575"/>
      <c r="R575"/>
      <c r="S575"/>
    </row>
    <row r="576" spans="1:19">
      <c r="A576"/>
      <c r="B576"/>
      <c r="C576"/>
      <c r="D576"/>
      <c r="E576"/>
      <c r="F576"/>
      <c r="G576"/>
      <c r="H576"/>
      <c r="I576"/>
      <c r="J576"/>
      <c r="K576"/>
      <c r="L576"/>
      <c r="M576"/>
      <c r="N576"/>
      <c r="O576"/>
      <c r="P576"/>
      <c r="Q576"/>
      <c r="R576"/>
      <c r="S576"/>
    </row>
    <row r="577" spans="1:19">
      <c r="A577"/>
      <c r="B577"/>
      <c r="C577"/>
      <c r="D577"/>
      <c r="E577"/>
      <c r="F577"/>
      <c r="G577"/>
      <c r="H577"/>
      <c r="I577"/>
      <c r="J577"/>
      <c r="K577"/>
      <c r="L577"/>
      <c r="M577"/>
      <c r="N577"/>
      <c r="O577"/>
      <c r="P577"/>
      <c r="Q577"/>
      <c r="R577"/>
      <c r="S577"/>
    </row>
    <row r="578" spans="1:19">
      <c r="A578"/>
      <c r="B578"/>
      <c r="C578"/>
      <c r="D578"/>
      <c r="E578"/>
      <c r="F578"/>
      <c r="G578"/>
      <c r="H578"/>
      <c r="I578"/>
      <c r="J578"/>
      <c r="K578"/>
      <c r="L578"/>
      <c r="M578"/>
      <c r="N578"/>
      <c r="O578"/>
      <c r="P578"/>
      <c r="Q578"/>
      <c r="R578"/>
      <c r="S578"/>
    </row>
    <row r="579" spans="1:19">
      <c r="A579"/>
      <c r="B579"/>
      <c r="C579"/>
      <c r="D579"/>
      <c r="E579"/>
      <c r="F579"/>
      <c r="G579"/>
      <c r="H579"/>
      <c r="I579"/>
      <c r="J579"/>
      <c r="K579"/>
      <c r="L579"/>
      <c r="M579"/>
      <c r="N579"/>
      <c r="O579"/>
      <c r="P579"/>
      <c r="Q579"/>
      <c r="R579"/>
      <c r="S579"/>
    </row>
    <row r="580" spans="1:19">
      <c r="A580"/>
      <c r="B580"/>
      <c r="C580"/>
      <c r="D580"/>
      <c r="E580"/>
      <c r="F580"/>
      <c r="G580"/>
      <c r="H580"/>
      <c r="I580"/>
      <c r="J580"/>
      <c r="K580"/>
      <c r="L580"/>
      <c r="M580"/>
      <c r="N580"/>
      <c r="O580"/>
      <c r="P580"/>
      <c r="Q580"/>
      <c r="R580"/>
      <c r="S580"/>
    </row>
    <row r="581" spans="1:19">
      <c r="A581"/>
      <c r="B581"/>
      <c r="C581"/>
      <c r="D581"/>
      <c r="E581"/>
      <c r="F581"/>
      <c r="G581"/>
      <c r="H581"/>
      <c r="I581"/>
      <c r="J581"/>
      <c r="K581"/>
      <c r="L581"/>
      <c r="M581"/>
      <c r="N581"/>
      <c r="O581"/>
      <c r="P581"/>
      <c r="Q581"/>
      <c r="R581"/>
      <c r="S581"/>
    </row>
    <row r="582" spans="1:19">
      <c r="A582"/>
      <c r="B582"/>
      <c r="C582"/>
      <c r="D582"/>
      <c r="E582"/>
      <c r="F582"/>
      <c r="G582"/>
      <c r="H582"/>
      <c r="I582"/>
      <c r="J582"/>
      <c r="K582"/>
      <c r="L582"/>
      <c r="M582"/>
      <c r="N582"/>
      <c r="O582"/>
      <c r="P582"/>
      <c r="Q582"/>
      <c r="R582"/>
      <c r="S582"/>
    </row>
    <row r="583" spans="1:19">
      <c r="A583"/>
      <c r="B583"/>
      <c r="C583"/>
      <c r="D583"/>
      <c r="E583"/>
      <c r="F583"/>
      <c r="G583"/>
      <c r="H583"/>
      <c r="I583"/>
      <c r="J583"/>
      <c r="K583"/>
      <c r="L583"/>
      <c r="M583"/>
      <c r="N583"/>
      <c r="O583"/>
      <c r="P583"/>
      <c r="Q583"/>
      <c r="R583"/>
      <c r="S583"/>
    </row>
    <row r="584" spans="1:19">
      <c r="A584"/>
      <c r="B584"/>
      <c r="C584"/>
      <c r="D584"/>
      <c r="E584"/>
      <c r="F584"/>
      <c r="G584"/>
      <c r="H584"/>
      <c r="I584"/>
      <c r="J584"/>
      <c r="K584"/>
      <c r="L584"/>
      <c r="M584"/>
      <c r="N584"/>
      <c r="O584"/>
      <c r="P584"/>
      <c r="Q584"/>
      <c r="R584"/>
      <c r="S584"/>
    </row>
    <row r="585" spans="1:19">
      <c r="A585"/>
      <c r="B585"/>
      <c r="C585"/>
      <c r="D585"/>
      <c r="E585"/>
      <c r="F585"/>
      <c r="G585"/>
      <c r="H585"/>
      <c r="I585"/>
      <c r="J585"/>
      <c r="K585"/>
      <c r="L585"/>
      <c r="M585"/>
      <c r="N585"/>
      <c r="O585"/>
      <c r="P585"/>
      <c r="Q585"/>
      <c r="R585"/>
      <c r="S585"/>
    </row>
    <row r="586" spans="1:19">
      <c r="A586"/>
      <c r="B586"/>
      <c r="C586"/>
      <c r="D586"/>
      <c r="E586"/>
      <c r="F586"/>
      <c r="G586"/>
      <c r="H586"/>
      <c r="I586"/>
      <c r="J586"/>
      <c r="K586"/>
      <c r="L586"/>
      <c r="M586"/>
      <c r="N586"/>
      <c r="O586"/>
      <c r="P586"/>
      <c r="Q586"/>
      <c r="R586"/>
      <c r="S586"/>
    </row>
    <row r="587" spans="1:19">
      <c r="A587"/>
      <c r="B587"/>
      <c r="C587"/>
      <c r="D587"/>
      <c r="E587"/>
      <c r="F587"/>
      <c r="G587"/>
      <c r="H587"/>
      <c r="I587"/>
      <c r="J587"/>
      <c r="K587"/>
      <c r="L587"/>
      <c r="M587"/>
      <c r="N587"/>
      <c r="O587"/>
      <c r="P587"/>
      <c r="Q587"/>
      <c r="R587"/>
      <c r="S587"/>
    </row>
    <row r="588" spans="1:19">
      <c r="A588"/>
      <c r="B588"/>
      <c r="C588"/>
      <c r="D588"/>
      <c r="E588"/>
      <c r="F588"/>
      <c r="G588"/>
      <c r="H588"/>
      <c r="I588"/>
      <c r="J588"/>
      <c r="K588"/>
      <c r="L588"/>
      <c r="M588"/>
      <c r="N588"/>
      <c r="O588"/>
      <c r="P588"/>
      <c r="Q588"/>
      <c r="R588"/>
      <c r="S588"/>
    </row>
    <row r="589" spans="1:19">
      <c r="A589"/>
      <c r="B589"/>
      <c r="C589"/>
      <c r="D589"/>
      <c r="E589"/>
      <c r="F589"/>
      <c r="G589"/>
      <c r="H589"/>
      <c r="I589"/>
      <c r="J589"/>
      <c r="K589"/>
      <c r="L589"/>
      <c r="M589"/>
      <c r="N589"/>
      <c r="O589"/>
      <c r="P589"/>
      <c r="Q589"/>
      <c r="R589"/>
      <c r="S589"/>
    </row>
    <row r="590" spans="1:19">
      <c r="A590"/>
      <c r="B590"/>
      <c r="C590"/>
      <c r="D590"/>
      <c r="E590"/>
      <c r="F590"/>
      <c r="G590"/>
      <c r="H590"/>
      <c r="I590"/>
      <c r="J590"/>
      <c r="K590"/>
      <c r="L590"/>
      <c r="M590"/>
      <c r="N590"/>
      <c r="O590"/>
      <c r="P590"/>
      <c r="Q590"/>
      <c r="R590"/>
      <c r="S590"/>
    </row>
    <row r="591" spans="1:19">
      <c r="A591"/>
      <c r="B591"/>
      <c r="C591"/>
      <c r="D591"/>
      <c r="E591"/>
      <c r="F591"/>
      <c r="G591"/>
      <c r="H591"/>
      <c r="I591"/>
      <c r="J591"/>
      <c r="K591"/>
      <c r="L591"/>
      <c r="M591"/>
      <c r="N591"/>
      <c r="O591"/>
      <c r="P591"/>
      <c r="Q591"/>
      <c r="R591"/>
      <c r="S591"/>
    </row>
    <row r="592" spans="1:19">
      <c r="A592"/>
      <c r="B592"/>
      <c r="C592"/>
      <c r="D592"/>
      <c r="E592"/>
      <c r="F592"/>
      <c r="G592"/>
      <c r="H592"/>
      <c r="I592"/>
      <c r="J592"/>
      <c r="K592"/>
      <c r="L592"/>
      <c r="M592"/>
      <c r="N592"/>
      <c r="O592"/>
      <c r="P592"/>
      <c r="Q592"/>
      <c r="R592"/>
      <c r="S592"/>
    </row>
    <row r="593" spans="1:19">
      <c r="A593"/>
      <c r="B593"/>
      <c r="C593"/>
      <c r="D593"/>
      <c r="E593"/>
      <c r="F593"/>
      <c r="G593"/>
      <c r="H593"/>
      <c r="I593"/>
      <c r="J593"/>
      <c r="K593"/>
      <c r="L593"/>
      <c r="M593"/>
      <c r="N593"/>
      <c r="O593"/>
      <c r="P593"/>
      <c r="Q593"/>
      <c r="R593"/>
      <c r="S593"/>
    </row>
    <row r="594" spans="1:19">
      <c r="A594"/>
      <c r="B594"/>
      <c r="C594"/>
      <c r="D594"/>
      <c r="E594"/>
      <c r="F594"/>
      <c r="G594"/>
      <c r="H594"/>
      <c r="I594"/>
      <c r="J594"/>
      <c r="K594"/>
      <c r="L594"/>
      <c r="M594"/>
      <c r="N594"/>
      <c r="O594"/>
      <c r="P594"/>
      <c r="Q594"/>
      <c r="R594"/>
      <c r="S594"/>
    </row>
    <row r="595" spans="1:19">
      <c r="A595"/>
      <c r="B595"/>
      <c r="C595"/>
      <c r="D595"/>
      <c r="E595"/>
      <c r="F595"/>
      <c r="G595"/>
      <c r="H595"/>
      <c r="I595"/>
      <c r="J595"/>
      <c r="K595"/>
      <c r="L595"/>
      <c r="M595"/>
      <c r="N595"/>
      <c r="O595"/>
      <c r="P595"/>
      <c r="Q595"/>
      <c r="R595"/>
      <c r="S595"/>
    </row>
    <row r="596" spans="1:19">
      <c r="A596"/>
      <c r="B596"/>
      <c r="C596"/>
      <c r="D596"/>
      <c r="E596"/>
      <c r="F596"/>
      <c r="G596"/>
      <c r="H596"/>
      <c r="I596"/>
      <c r="J596"/>
      <c r="K596"/>
      <c r="L596"/>
      <c r="M596"/>
      <c r="N596"/>
      <c r="O596"/>
      <c r="P596"/>
      <c r="Q596"/>
      <c r="R596"/>
      <c r="S596"/>
    </row>
    <row r="597" spans="1:19">
      <c r="A597"/>
      <c r="B597"/>
      <c r="C597"/>
      <c r="D597"/>
      <c r="E597"/>
      <c r="F597"/>
      <c r="G597"/>
      <c r="H597"/>
      <c r="I597"/>
      <c r="J597"/>
      <c r="K597"/>
      <c r="L597"/>
      <c r="M597"/>
      <c r="N597"/>
      <c r="O597"/>
      <c r="P597"/>
      <c r="Q597"/>
      <c r="R597"/>
      <c r="S597"/>
    </row>
    <row r="598" spans="1:19">
      <c r="A598"/>
      <c r="B598"/>
      <c r="C598"/>
      <c r="D598"/>
      <c r="E598"/>
      <c r="F598"/>
      <c r="G598"/>
      <c r="H598"/>
      <c r="I598"/>
      <c r="J598"/>
      <c r="K598"/>
      <c r="L598"/>
      <c r="M598"/>
      <c r="N598"/>
      <c r="O598"/>
      <c r="P598"/>
      <c r="Q598"/>
      <c r="R598"/>
      <c r="S598"/>
    </row>
    <row r="599" spans="1:19">
      <c r="A599"/>
      <c r="B599"/>
      <c r="C599"/>
      <c r="D599"/>
      <c r="E599"/>
      <c r="F599"/>
      <c r="G599"/>
      <c r="H599"/>
      <c r="I599"/>
      <c r="J599"/>
      <c r="K599"/>
      <c r="L599"/>
      <c r="M599"/>
      <c r="N599"/>
      <c r="O599"/>
      <c r="P599"/>
      <c r="Q599"/>
      <c r="R599"/>
      <c r="S599"/>
    </row>
    <row r="600" spans="1:19">
      <c r="A600"/>
      <c r="B600"/>
      <c r="C600"/>
      <c r="D600"/>
      <c r="E600"/>
      <c r="F600"/>
      <c r="G600"/>
      <c r="H600"/>
      <c r="I600"/>
      <c r="J600"/>
      <c r="K600"/>
      <c r="L600"/>
      <c r="M600"/>
      <c r="N600"/>
      <c r="O600"/>
      <c r="P600"/>
      <c r="Q600"/>
      <c r="R600"/>
      <c r="S600"/>
    </row>
    <row r="601" spans="1:19">
      <c r="A601"/>
      <c r="B601"/>
      <c r="C601"/>
      <c r="D601"/>
      <c r="E601"/>
      <c r="F601"/>
      <c r="G601"/>
      <c r="H601"/>
      <c r="I601"/>
      <c r="J601"/>
      <c r="K601"/>
      <c r="L601"/>
      <c r="M601"/>
      <c r="N601"/>
      <c r="O601"/>
      <c r="P601"/>
      <c r="Q601"/>
      <c r="R601"/>
      <c r="S601"/>
    </row>
    <row r="602" spans="1:19">
      <c r="A602"/>
      <c r="B602"/>
      <c r="C602"/>
      <c r="D602"/>
      <c r="E602"/>
      <c r="F602"/>
      <c r="G602"/>
      <c r="H602"/>
      <c r="I602"/>
      <c r="J602"/>
      <c r="K602"/>
      <c r="L602"/>
      <c r="M602"/>
      <c r="N602"/>
      <c r="O602"/>
      <c r="P602"/>
      <c r="Q602"/>
      <c r="R602"/>
      <c r="S602"/>
    </row>
    <row r="603" spans="1:19">
      <c r="A603"/>
      <c r="B603"/>
      <c r="C603"/>
      <c r="D603"/>
      <c r="E603"/>
      <c r="F603"/>
      <c r="G603"/>
      <c r="H603"/>
      <c r="I603"/>
      <c r="J603"/>
      <c r="K603"/>
      <c r="L603"/>
      <c r="M603"/>
      <c r="N603"/>
      <c r="O603"/>
      <c r="P603"/>
      <c r="Q603"/>
      <c r="R603"/>
      <c r="S603"/>
    </row>
    <row r="604" spans="1:19">
      <c r="A604"/>
      <c r="B604"/>
      <c r="C604"/>
      <c r="D604"/>
      <c r="E604"/>
      <c r="F604"/>
      <c r="G604"/>
      <c r="H604"/>
      <c r="I604"/>
      <c r="J604"/>
      <c r="K604"/>
      <c r="L604"/>
      <c r="M604"/>
      <c r="N604"/>
      <c r="O604"/>
      <c r="P604"/>
      <c r="Q604"/>
      <c r="R604"/>
      <c r="S604"/>
    </row>
    <row r="605" spans="1:19">
      <c r="A605"/>
      <c r="B605"/>
      <c r="C605"/>
      <c r="D605"/>
      <c r="E605"/>
      <c r="F605"/>
      <c r="G605"/>
      <c r="H605"/>
      <c r="I605"/>
      <c r="J605"/>
      <c r="K605"/>
      <c r="L605"/>
      <c r="M605"/>
      <c r="N605"/>
      <c r="O605"/>
      <c r="P605"/>
      <c r="Q605"/>
      <c r="R605"/>
      <c r="S605"/>
    </row>
    <row r="606" spans="1:19">
      <c r="A606"/>
      <c r="B606"/>
      <c r="C606"/>
      <c r="D606"/>
      <c r="E606"/>
      <c r="F606"/>
      <c r="G606"/>
      <c r="H606"/>
      <c r="I606"/>
      <c r="J606"/>
      <c r="K606"/>
      <c r="L606"/>
      <c r="M606"/>
      <c r="N606"/>
      <c r="O606"/>
      <c r="P606"/>
      <c r="Q606"/>
      <c r="R606"/>
      <c r="S606"/>
    </row>
    <row r="607" spans="1:19">
      <c r="A607"/>
      <c r="B607"/>
      <c r="C607"/>
      <c r="D607"/>
      <c r="E607"/>
      <c r="F607"/>
      <c r="G607"/>
      <c r="H607"/>
      <c r="I607"/>
      <c r="J607"/>
      <c r="K607"/>
      <c r="L607"/>
      <c r="M607"/>
      <c r="N607"/>
      <c r="O607"/>
      <c r="P607"/>
      <c r="Q607"/>
      <c r="R607"/>
      <c r="S607"/>
    </row>
    <row r="608" spans="1:19">
      <c r="A608"/>
      <c r="B608"/>
      <c r="C608"/>
      <c r="D608"/>
      <c r="E608"/>
      <c r="F608"/>
      <c r="G608"/>
      <c r="H608"/>
      <c r="I608"/>
      <c r="J608"/>
      <c r="K608"/>
      <c r="L608"/>
      <c r="M608"/>
      <c r="N608"/>
      <c r="O608"/>
      <c r="P608"/>
      <c r="Q608"/>
      <c r="R608"/>
      <c r="S608"/>
    </row>
    <row r="609" spans="1:19">
      <c r="A609"/>
      <c r="B609"/>
      <c r="C609"/>
      <c r="D609"/>
      <c r="E609"/>
      <c r="F609"/>
      <c r="G609"/>
      <c r="H609"/>
      <c r="I609"/>
      <c r="J609"/>
      <c r="K609"/>
      <c r="L609"/>
      <c r="M609"/>
      <c r="N609"/>
      <c r="O609"/>
      <c r="P609"/>
      <c r="Q609"/>
      <c r="R609"/>
      <c r="S609"/>
    </row>
    <row r="610" spans="1:19">
      <c r="A610"/>
      <c r="B610"/>
      <c r="C610"/>
      <c r="D610"/>
      <c r="E610"/>
      <c r="F610"/>
      <c r="G610"/>
      <c r="H610"/>
      <c r="I610"/>
      <c r="J610"/>
      <c r="K610"/>
      <c r="L610"/>
      <c r="M610"/>
      <c r="N610"/>
      <c r="O610"/>
      <c r="P610"/>
      <c r="Q610"/>
      <c r="R610"/>
      <c r="S610"/>
    </row>
    <row r="611" spans="1:19">
      <c r="A611"/>
      <c r="B611"/>
      <c r="C611"/>
      <c r="D611"/>
      <c r="E611"/>
      <c r="F611"/>
      <c r="G611"/>
      <c r="H611"/>
      <c r="I611"/>
      <c r="J611"/>
      <c r="K611"/>
      <c r="L611"/>
      <c r="M611"/>
      <c r="N611"/>
      <c r="O611"/>
      <c r="P611"/>
      <c r="Q611"/>
      <c r="R611"/>
      <c r="S611"/>
    </row>
    <row r="612" spans="1:19">
      <c r="A612"/>
      <c r="B612"/>
      <c r="C612"/>
      <c r="D612"/>
      <c r="E612"/>
      <c r="F612"/>
      <c r="G612"/>
      <c r="H612"/>
      <c r="I612"/>
      <c r="J612"/>
      <c r="K612"/>
      <c r="L612"/>
      <c r="M612"/>
      <c r="N612"/>
      <c r="O612"/>
      <c r="P612"/>
      <c r="Q612"/>
      <c r="R612"/>
      <c r="S612"/>
    </row>
    <row r="613" spans="1:19">
      <c r="A613"/>
      <c r="B613"/>
      <c r="C613"/>
      <c r="D613"/>
      <c r="E613"/>
      <c r="F613"/>
      <c r="G613"/>
      <c r="H613"/>
      <c r="I613"/>
      <c r="J613"/>
      <c r="K613"/>
      <c r="L613"/>
      <c r="M613"/>
      <c r="N613"/>
      <c r="O613"/>
      <c r="P613"/>
      <c r="Q613"/>
      <c r="R613"/>
      <c r="S613"/>
    </row>
    <row r="614" spans="1:19">
      <c r="A614"/>
      <c r="B614"/>
      <c r="C614"/>
      <c r="D614"/>
      <c r="E614"/>
      <c r="F614"/>
      <c r="G614"/>
      <c r="H614"/>
      <c r="I614"/>
      <c r="J614"/>
      <c r="K614"/>
      <c r="L614"/>
      <c r="M614"/>
      <c r="N614"/>
      <c r="O614"/>
      <c r="P614"/>
      <c r="Q614"/>
      <c r="R614"/>
      <c r="S614"/>
    </row>
    <row r="615" spans="1:19">
      <c r="A615"/>
      <c r="B615"/>
      <c r="C615"/>
      <c r="D615"/>
      <c r="E615"/>
      <c r="F615"/>
      <c r="G615"/>
      <c r="H615"/>
      <c r="I615"/>
      <c r="J615"/>
      <c r="K615"/>
      <c r="L615"/>
      <c r="M615"/>
      <c r="N615"/>
      <c r="O615"/>
      <c r="P615"/>
      <c r="Q615"/>
      <c r="R615"/>
      <c r="S615"/>
    </row>
    <row r="616" spans="1:19">
      <c r="A616"/>
      <c r="B616"/>
      <c r="C616"/>
      <c r="D616"/>
      <c r="E616"/>
      <c r="F616"/>
      <c r="G616"/>
      <c r="H616"/>
      <c r="I616"/>
      <c r="J616"/>
      <c r="K616"/>
      <c r="L616"/>
      <c r="M616"/>
      <c r="N616"/>
      <c r="O616"/>
      <c r="P616"/>
      <c r="Q616"/>
      <c r="R616"/>
      <c r="S616"/>
    </row>
    <row r="617" spans="1:19">
      <c r="A617"/>
      <c r="B617"/>
      <c r="C617"/>
      <c r="D617"/>
      <c r="E617"/>
      <c r="F617"/>
      <c r="G617"/>
      <c r="H617"/>
      <c r="I617"/>
      <c r="J617"/>
      <c r="K617"/>
      <c r="L617"/>
      <c r="M617"/>
      <c r="N617"/>
      <c r="O617"/>
      <c r="P617"/>
      <c r="Q617"/>
      <c r="R617"/>
      <c r="S617"/>
    </row>
    <row r="618" spans="1:19">
      <c r="A618"/>
      <c r="B618"/>
      <c r="C618"/>
      <c r="D618"/>
      <c r="E618"/>
      <c r="F618"/>
      <c r="G618"/>
      <c r="H618"/>
      <c r="I618"/>
      <c r="J618"/>
      <c r="K618"/>
      <c r="L618"/>
      <c r="M618"/>
      <c r="N618"/>
      <c r="O618"/>
      <c r="P618"/>
      <c r="Q618"/>
      <c r="R618"/>
      <c r="S618"/>
    </row>
    <row r="619" spans="1:19">
      <c r="A619"/>
      <c r="B619"/>
      <c r="C619"/>
      <c r="D619"/>
      <c r="E619"/>
      <c r="F619"/>
      <c r="G619"/>
      <c r="H619"/>
      <c r="I619"/>
      <c r="J619"/>
      <c r="K619"/>
      <c r="L619"/>
      <c r="M619"/>
      <c r="N619"/>
      <c r="O619"/>
      <c r="P619"/>
      <c r="Q619"/>
      <c r="R619"/>
      <c r="S619"/>
    </row>
    <row r="620" spans="1:19">
      <c r="A620"/>
      <c r="B620"/>
      <c r="C620"/>
      <c r="D620"/>
      <c r="E620"/>
      <c r="F620"/>
      <c r="G620"/>
      <c r="H620"/>
      <c r="I620"/>
      <c r="J620"/>
      <c r="K620"/>
      <c r="L620"/>
      <c r="M620"/>
      <c r="N620"/>
      <c r="O620"/>
      <c r="P620"/>
      <c r="Q620"/>
      <c r="R620"/>
      <c r="S620"/>
    </row>
    <row r="621" spans="1:19">
      <c r="A621"/>
      <c r="B621"/>
      <c r="C621"/>
      <c r="D621"/>
      <c r="E621"/>
      <c r="F621"/>
      <c r="G621"/>
      <c r="H621"/>
      <c r="I621"/>
      <c r="J621"/>
      <c r="K621"/>
      <c r="L621"/>
      <c r="M621"/>
      <c r="N621"/>
      <c r="O621"/>
      <c r="P621"/>
      <c r="Q621"/>
      <c r="R621"/>
      <c r="S621"/>
    </row>
  </sheetData>
  <phoneticPr fontId="2" type="noConversion"/>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sheetPr>
    <tabColor theme="4" tint="0.59999389629810485"/>
  </sheetPr>
  <dimension ref="A3:S621"/>
  <sheetViews>
    <sheetView workbookViewId="0">
      <selection activeCell="E25" sqref="E25"/>
    </sheetView>
  </sheetViews>
  <sheetFormatPr defaultColWidth="9.140625" defaultRowHeight="12.75"/>
  <cols>
    <col min="1" max="1" width="8.7109375" style="111" bestFit="1" customWidth="1"/>
    <col min="2" max="2" width="28.7109375" style="111" customWidth="1"/>
    <col min="3" max="6" width="11.42578125" style="111" customWidth="1"/>
    <col min="7" max="9" width="11.42578125" style="111" bestFit="1" customWidth="1"/>
    <col min="10" max="10" width="11.5703125" style="111" customWidth="1"/>
    <col min="11" max="13" width="11.42578125" style="111" customWidth="1"/>
    <col min="14" max="14" width="11.42578125" style="111" bestFit="1" customWidth="1"/>
    <col min="15" max="15" width="11.5703125" style="111" customWidth="1"/>
    <col min="16" max="16" width="10.85546875" style="111" customWidth="1"/>
    <col min="17" max="18" width="10.85546875" style="111" bestFit="1" customWidth="1"/>
    <col min="19" max="19" width="10.5703125" style="111" customWidth="1"/>
    <col min="20" max="21" width="10.5703125" bestFit="1" customWidth="1"/>
  </cols>
  <sheetData>
    <row r="3" spans="1:19">
      <c r="A3" s="407"/>
      <c r="B3" s="408"/>
      <c r="C3" s="110"/>
      <c r="D3" s="409"/>
      <c r="E3" s="409"/>
      <c r="F3" s="409"/>
      <c r="G3" s="409"/>
      <c r="H3" s="409"/>
      <c r="I3" s="409"/>
      <c r="J3" s="409"/>
      <c r="K3" s="409"/>
      <c r="L3" s="409"/>
      <c r="M3" s="409"/>
      <c r="N3" s="409"/>
      <c r="O3" s="409"/>
      <c r="P3" s="409"/>
      <c r="Q3" s="409"/>
      <c r="R3" s="409"/>
      <c r="S3" s="410"/>
    </row>
    <row r="4" spans="1:19">
      <c r="A4" s="407"/>
      <c r="B4" s="408"/>
      <c r="C4" s="110"/>
      <c r="D4" s="112"/>
      <c r="E4" s="112"/>
      <c r="F4" s="112"/>
      <c r="G4" s="112"/>
      <c r="H4" s="112"/>
      <c r="I4" s="112"/>
      <c r="J4" s="110"/>
      <c r="K4" s="110"/>
      <c r="L4" s="112"/>
      <c r="M4" s="112"/>
      <c r="N4" s="112"/>
      <c r="O4" s="110"/>
      <c r="P4" s="110"/>
      <c r="Q4" s="112"/>
      <c r="R4" s="112"/>
      <c r="S4" s="411"/>
    </row>
    <row r="5" spans="1:19">
      <c r="A5" s="407"/>
      <c r="B5" s="407"/>
      <c r="C5" s="110"/>
      <c r="D5" s="113"/>
      <c r="E5" s="113"/>
      <c r="F5" s="113"/>
      <c r="G5" s="113"/>
      <c r="H5" s="113"/>
      <c r="I5" s="113"/>
      <c r="J5" s="114"/>
      <c r="K5" s="110"/>
      <c r="L5" s="113"/>
      <c r="M5" s="113"/>
      <c r="N5" s="113"/>
      <c r="O5" s="114"/>
      <c r="P5" s="110"/>
      <c r="Q5" s="113"/>
      <c r="R5" s="113"/>
      <c r="S5" s="412"/>
    </row>
    <row r="6" spans="1:19">
      <c r="A6" s="413"/>
      <c r="B6" s="413"/>
      <c r="C6" s="432"/>
      <c r="D6" s="433"/>
      <c r="E6" s="433"/>
      <c r="F6" s="433"/>
      <c r="G6" s="433"/>
      <c r="H6" s="433"/>
      <c r="I6" s="433"/>
      <c r="J6" s="434"/>
      <c r="K6" s="432"/>
      <c r="L6" s="433"/>
      <c r="M6" s="433"/>
      <c r="N6" s="433"/>
      <c r="O6" s="434"/>
      <c r="P6" s="457"/>
      <c r="Q6" s="433"/>
      <c r="R6" s="433"/>
      <c r="S6" s="454"/>
    </row>
    <row r="7" spans="1:19">
      <c r="A7" s="414"/>
      <c r="B7" s="447"/>
      <c r="C7" s="436"/>
      <c r="D7" s="437"/>
      <c r="E7" s="437"/>
      <c r="F7" s="437"/>
      <c r="G7" s="437"/>
      <c r="H7" s="437"/>
      <c r="I7" s="437"/>
      <c r="J7" s="438"/>
      <c r="K7" s="436"/>
      <c r="L7" s="437"/>
      <c r="M7" s="437"/>
      <c r="N7" s="437"/>
      <c r="O7" s="438"/>
      <c r="P7" s="458"/>
      <c r="Q7" s="437"/>
      <c r="R7" s="437"/>
      <c r="S7" s="455"/>
    </row>
    <row r="8" spans="1:19">
      <c r="A8" s="414"/>
      <c r="B8" s="448"/>
      <c r="C8" s="436"/>
      <c r="D8" s="437"/>
      <c r="E8" s="437"/>
      <c r="F8" s="437"/>
      <c r="G8" s="437"/>
      <c r="H8" s="437"/>
      <c r="I8" s="437"/>
      <c r="J8" s="440"/>
      <c r="K8" s="436"/>
      <c r="L8" s="437"/>
      <c r="M8" s="437"/>
      <c r="N8" s="437"/>
      <c r="O8" s="440"/>
      <c r="P8" s="458"/>
      <c r="Q8" s="437"/>
      <c r="R8" s="437"/>
      <c r="S8" s="455"/>
    </row>
    <row r="9" spans="1:19">
      <c r="A9" s="414"/>
      <c r="B9" s="447"/>
      <c r="C9" s="436"/>
      <c r="D9" s="437"/>
      <c r="E9" s="437"/>
      <c r="F9" s="437"/>
      <c r="G9" s="437"/>
      <c r="H9" s="437"/>
      <c r="I9" s="437"/>
      <c r="J9" s="441"/>
      <c r="K9" s="436"/>
      <c r="L9" s="437"/>
      <c r="M9" s="437"/>
      <c r="N9" s="437"/>
      <c r="O9" s="436"/>
      <c r="P9" s="458"/>
      <c r="Q9" s="437"/>
      <c r="R9" s="437"/>
      <c r="S9" s="455"/>
    </row>
    <row r="10" spans="1:19">
      <c r="A10" s="414"/>
      <c r="B10" s="447"/>
      <c r="C10" s="436"/>
      <c r="D10" s="437"/>
      <c r="E10" s="437"/>
      <c r="F10" s="437"/>
      <c r="G10" s="437"/>
      <c r="H10" s="437"/>
      <c r="I10" s="437"/>
      <c r="J10" s="442"/>
      <c r="K10" s="436"/>
      <c r="L10" s="437"/>
      <c r="M10" s="437"/>
      <c r="N10" s="437"/>
      <c r="O10" s="442"/>
      <c r="P10" s="458"/>
      <c r="Q10" s="437"/>
      <c r="R10" s="437"/>
      <c r="S10" s="455"/>
    </row>
    <row r="11" spans="1:19">
      <c r="A11" s="414"/>
      <c r="B11" s="447"/>
      <c r="C11" s="436"/>
      <c r="D11" s="437"/>
      <c r="E11" s="437"/>
      <c r="F11" s="437"/>
      <c r="G11" s="437"/>
      <c r="H11" s="437"/>
      <c r="I11" s="437"/>
      <c r="J11" s="443"/>
      <c r="K11" s="436"/>
      <c r="L11" s="437"/>
      <c r="M11" s="437"/>
      <c r="N11" s="437"/>
      <c r="O11" s="443"/>
      <c r="P11" s="458"/>
      <c r="Q11" s="437"/>
      <c r="R11" s="437"/>
      <c r="S11" s="455"/>
    </row>
    <row r="12" spans="1:19">
      <c r="A12" s="414"/>
      <c r="B12" s="447"/>
      <c r="C12" s="436"/>
      <c r="D12" s="437"/>
      <c r="E12" s="437"/>
      <c r="F12" s="437"/>
      <c r="G12" s="437"/>
      <c r="H12" s="437"/>
      <c r="I12" s="437"/>
      <c r="J12" s="444"/>
      <c r="K12" s="436"/>
      <c r="L12" s="437"/>
      <c r="M12" s="437"/>
      <c r="N12" s="437"/>
      <c r="O12" s="436"/>
      <c r="P12" s="458"/>
      <c r="Q12" s="437"/>
      <c r="R12" s="437"/>
      <c r="S12" s="455"/>
    </row>
    <row r="13" spans="1:19">
      <c r="A13" s="415"/>
      <c r="B13" s="415"/>
      <c r="C13" s="445"/>
      <c r="D13" s="446"/>
      <c r="E13" s="446"/>
      <c r="F13" s="446"/>
      <c r="G13" s="446"/>
      <c r="H13" s="446"/>
      <c r="I13" s="446"/>
      <c r="J13" s="445"/>
      <c r="K13" s="445"/>
      <c r="L13" s="446"/>
      <c r="M13" s="446"/>
      <c r="N13" s="446"/>
      <c r="O13" s="445"/>
      <c r="P13" s="459"/>
      <c r="Q13" s="446"/>
      <c r="R13" s="446"/>
      <c r="S13" s="456"/>
    </row>
    <row r="14" spans="1:19">
      <c r="A14" s="413"/>
      <c r="B14" s="110"/>
      <c r="C14" s="418"/>
      <c r="D14" s="419"/>
      <c r="E14" s="419"/>
      <c r="F14" s="419"/>
      <c r="G14" s="419"/>
      <c r="H14" s="419"/>
      <c r="I14" s="419"/>
      <c r="J14" s="118"/>
      <c r="K14" s="418"/>
      <c r="L14" s="419"/>
      <c r="M14" s="419"/>
      <c r="N14" s="419"/>
      <c r="O14" s="118"/>
      <c r="P14" s="418"/>
      <c r="Q14" s="419"/>
      <c r="R14" s="419"/>
      <c r="S14" s="420"/>
    </row>
    <row r="15" spans="1:19">
      <c r="A15" s="414"/>
      <c r="B15" s="115"/>
      <c r="C15" s="117"/>
      <c r="D15" s="422"/>
      <c r="E15" s="422"/>
      <c r="F15" s="422"/>
      <c r="G15" s="422"/>
      <c r="H15" s="422"/>
      <c r="I15" s="422"/>
      <c r="J15" s="123"/>
      <c r="K15" s="117"/>
      <c r="L15" s="422"/>
      <c r="M15" s="422"/>
      <c r="N15" s="422"/>
      <c r="O15" s="123"/>
      <c r="P15" s="117"/>
      <c r="Q15" s="422"/>
      <c r="R15" s="422"/>
      <c r="S15" s="421"/>
    </row>
    <row r="16" spans="1:19">
      <c r="A16" s="414"/>
      <c r="B16" s="115"/>
      <c r="C16" s="117"/>
      <c r="D16" s="422"/>
      <c r="E16" s="422"/>
      <c r="F16" s="422"/>
      <c r="G16" s="422"/>
      <c r="H16" s="422"/>
      <c r="I16" s="422"/>
      <c r="J16" s="121"/>
      <c r="K16" s="117"/>
      <c r="L16" s="422"/>
      <c r="M16" s="422"/>
      <c r="N16" s="422"/>
      <c r="O16" s="117"/>
      <c r="P16" s="117"/>
      <c r="Q16" s="422"/>
      <c r="R16" s="422"/>
      <c r="S16" s="421"/>
    </row>
    <row r="17" spans="1:19">
      <c r="A17" s="414"/>
      <c r="B17" s="115"/>
      <c r="C17" s="117"/>
      <c r="D17" s="422"/>
      <c r="E17" s="422"/>
      <c r="F17" s="422"/>
      <c r="G17" s="422"/>
      <c r="H17" s="422"/>
      <c r="I17" s="422"/>
      <c r="J17" s="125"/>
      <c r="K17" s="117"/>
      <c r="L17" s="422"/>
      <c r="M17" s="422"/>
      <c r="N17" s="422"/>
      <c r="O17" s="117"/>
      <c r="P17" s="117"/>
      <c r="Q17" s="422"/>
      <c r="R17" s="422"/>
      <c r="S17" s="421"/>
    </row>
    <row r="18" spans="1:19">
      <c r="A18" s="414"/>
      <c r="B18" s="115"/>
      <c r="C18" s="117"/>
      <c r="D18" s="422"/>
      <c r="E18" s="422"/>
      <c r="F18" s="422"/>
      <c r="G18" s="422"/>
      <c r="H18" s="422"/>
      <c r="I18" s="422"/>
      <c r="J18" s="120"/>
      <c r="K18" s="117"/>
      <c r="L18" s="422"/>
      <c r="M18" s="422"/>
      <c r="N18" s="422"/>
      <c r="O18" s="120"/>
      <c r="P18" s="117"/>
      <c r="Q18" s="422"/>
      <c r="R18" s="422"/>
      <c r="S18" s="421"/>
    </row>
    <row r="19" spans="1:19">
      <c r="A19" s="414"/>
      <c r="B19" s="115"/>
      <c r="C19" s="117"/>
      <c r="D19" s="422"/>
      <c r="E19" s="422"/>
      <c r="F19" s="422"/>
      <c r="G19" s="422"/>
      <c r="H19" s="422"/>
      <c r="I19" s="422"/>
      <c r="J19" s="124"/>
      <c r="K19" s="117"/>
      <c r="L19" s="422"/>
      <c r="M19" s="422"/>
      <c r="N19" s="422"/>
      <c r="O19" s="124"/>
      <c r="P19" s="117"/>
      <c r="Q19" s="422"/>
      <c r="R19" s="422"/>
      <c r="S19" s="421"/>
    </row>
    <row r="20" spans="1:19">
      <c r="A20" s="414"/>
      <c r="B20" s="115"/>
      <c r="C20" s="117"/>
      <c r="D20" s="422"/>
      <c r="E20" s="422"/>
      <c r="F20" s="422"/>
      <c r="G20" s="422"/>
      <c r="H20" s="422"/>
      <c r="I20" s="422"/>
      <c r="J20" s="122"/>
      <c r="K20" s="117"/>
      <c r="L20" s="422"/>
      <c r="M20" s="422"/>
      <c r="N20" s="422"/>
      <c r="O20" s="117"/>
      <c r="P20" s="117"/>
      <c r="Q20" s="422"/>
      <c r="R20" s="422"/>
      <c r="S20" s="421"/>
    </row>
    <row r="21" spans="1:19">
      <c r="A21" s="416"/>
      <c r="B21" s="115"/>
      <c r="C21" s="117"/>
      <c r="D21" s="422"/>
      <c r="E21" s="422"/>
      <c r="F21" s="422"/>
      <c r="G21" s="422"/>
      <c r="H21" s="422"/>
      <c r="I21" s="422"/>
      <c r="J21" s="117"/>
      <c r="K21" s="117"/>
      <c r="L21" s="422"/>
      <c r="M21" s="422"/>
      <c r="N21" s="422"/>
      <c r="O21" s="117"/>
      <c r="P21" s="117"/>
      <c r="Q21" s="422"/>
      <c r="R21" s="422"/>
      <c r="S21" s="421"/>
    </row>
    <row r="22" spans="1:19">
      <c r="A22" s="413"/>
      <c r="B22" s="110"/>
      <c r="C22" s="418"/>
      <c r="D22" s="419"/>
      <c r="E22" s="419"/>
      <c r="F22" s="419"/>
      <c r="G22" s="419"/>
      <c r="H22" s="419"/>
      <c r="I22" s="419"/>
      <c r="J22" s="118"/>
      <c r="K22" s="418"/>
      <c r="L22" s="419"/>
      <c r="M22" s="419"/>
      <c r="N22" s="419"/>
      <c r="O22" s="118"/>
      <c r="P22" s="418"/>
      <c r="Q22" s="419"/>
      <c r="R22" s="419"/>
      <c r="S22" s="420"/>
    </row>
    <row r="23" spans="1:19">
      <c r="A23" s="414"/>
      <c r="B23" s="115"/>
      <c r="C23" s="117"/>
      <c r="D23" s="422"/>
      <c r="E23" s="422"/>
      <c r="F23" s="422"/>
      <c r="G23" s="422"/>
      <c r="H23" s="422"/>
      <c r="I23" s="422"/>
      <c r="J23" s="123"/>
      <c r="K23" s="117"/>
      <c r="L23" s="422"/>
      <c r="M23" s="422"/>
      <c r="N23" s="422"/>
      <c r="O23" s="123"/>
      <c r="P23" s="117"/>
      <c r="Q23" s="422"/>
      <c r="R23" s="422"/>
      <c r="S23" s="421"/>
    </row>
    <row r="24" spans="1:19">
      <c r="A24" s="414"/>
      <c r="B24" s="115"/>
      <c r="C24" s="117"/>
      <c r="D24" s="422"/>
      <c r="E24" s="422"/>
      <c r="F24" s="422"/>
      <c r="G24" s="422"/>
      <c r="H24" s="422"/>
      <c r="I24" s="422"/>
      <c r="J24" s="121"/>
      <c r="K24" s="117"/>
      <c r="L24" s="422"/>
      <c r="M24" s="422"/>
      <c r="N24" s="422"/>
      <c r="O24" s="117"/>
      <c r="P24" s="117"/>
      <c r="Q24" s="422"/>
      <c r="R24" s="422"/>
      <c r="S24" s="421"/>
    </row>
    <row r="25" spans="1:19">
      <c r="A25" s="414"/>
      <c r="B25" s="115"/>
      <c r="C25" s="117"/>
      <c r="D25" s="422"/>
      <c r="E25" s="422"/>
      <c r="F25" s="422"/>
      <c r="G25" s="422"/>
      <c r="H25" s="422"/>
      <c r="I25" s="422"/>
      <c r="J25" s="125"/>
      <c r="K25" s="117"/>
      <c r="L25" s="422"/>
      <c r="M25" s="422"/>
      <c r="N25" s="422"/>
      <c r="O25" s="117"/>
      <c r="P25" s="117"/>
      <c r="Q25" s="422"/>
      <c r="R25" s="422"/>
      <c r="S25" s="421"/>
    </row>
    <row r="26" spans="1:19">
      <c r="A26" s="414"/>
      <c r="B26" s="115"/>
      <c r="C26" s="117"/>
      <c r="D26" s="422"/>
      <c r="E26" s="422"/>
      <c r="F26" s="422"/>
      <c r="G26" s="422"/>
      <c r="H26" s="422"/>
      <c r="I26" s="422"/>
      <c r="J26" s="120"/>
      <c r="K26" s="117"/>
      <c r="L26" s="422"/>
      <c r="M26" s="422"/>
      <c r="N26" s="422"/>
      <c r="O26" s="120"/>
      <c r="P26" s="117"/>
      <c r="Q26" s="422"/>
      <c r="R26" s="422"/>
      <c r="S26" s="421"/>
    </row>
    <row r="27" spans="1:19">
      <c r="A27" s="414"/>
      <c r="B27" s="115"/>
      <c r="C27" s="117"/>
      <c r="D27" s="422"/>
      <c r="E27" s="422"/>
      <c r="F27" s="422"/>
      <c r="G27" s="422"/>
      <c r="H27" s="422"/>
      <c r="I27" s="422"/>
      <c r="J27" s="430"/>
      <c r="K27" s="117"/>
      <c r="L27" s="422"/>
      <c r="M27" s="431"/>
      <c r="N27" s="431"/>
      <c r="O27" s="430"/>
      <c r="P27" s="117"/>
      <c r="Q27" s="422"/>
      <c r="R27" s="422"/>
      <c r="S27" s="421"/>
    </row>
    <row r="28" spans="1:19">
      <c r="A28" s="414"/>
      <c r="B28" s="115"/>
      <c r="C28" s="117"/>
      <c r="D28" s="422"/>
      <c r="E28" s="422"/>
      <c r="F28" s="422"/>
      <c r="G28" s="422"/>
      <c r="H28" s="422"/>
      <c r="I28" s="422"/>
      <c r="J28" s="122"/>
      <c r="K28" s="117"/>
      <c r="L28" s="422"/>
      <c r="M28" s="422"/>
      <c r="N28" s="422"/>
      <c r="O28" s="117"/>
      <c r="P28" s="117"/>
      <c r="Q28" s="422"/>
      <c r="R28" s="422"/>
      <c r="S28" s="421"/>
    </row>
    <row r="29" spans="1:19">
      <c r="A29" s="416"/>
      <c r="B29" s="115"/>
      <c r="C29" s="117"/>
      <c r="D29" s="422"/>
      <c r="E29" s="422"/>
      <c r="F29" s="422"/>
      <c r="G29" s="422"/>
      <c r="H29" s="422"/>
      <c r="I29" s="422"/>
      <c r="J29" s="117"/>
      <c r="K29" s="117"/>
      <c r="L29" s="422"/>
      <c r="M29" s="422"/>
      <c r="N29" s="422"/>
      <c r="O29" s="117"/>
      <c r="P29" s="117"/>
      <c r="Q29" s="422"/>
      <c r="R29" s="422"/>
      <c r="S29" s="421"/>
    </row>
    <row r="30" spans="1:19">
      <c r="A30" s="413"/>
      <c r="B30" s="110"/>
      <c r="C30" s="418"/>
      <c r="D30" s="419"/>
      <c r="E30" s="419"/>
      <c r="F30" s="419"/>
      <c r="G30" s="419"/>
      <c r="H30" s="419"/>
      <c r="I30" s="419"/>
      <c r="J30" s="118"/>
      <c r="K30" s="418"/>
      <c r="L30" s="419"/>
      <c r="M30" s="419"/>
      <c r="N30" s="419"/>
      <c r="O30" s="118"/>
      <c r="P30" s="418"/>
      <c r="Q30" s="419"/>
      <c r="R30" s="419"/>
      <c r="S30" s="420"/>
    </row>
    <row r="31" spans="1:19">
      <c r="A31" s="414"/>
      <c r="B31" s="115"/>
      <c r="C31" s="117"/>
      <c r="D31" s="422"/>
      <c r="E31" s="422"/>
      <c r="F31" s="422"/>
      <c r="G31" s="422"/>
      <c r="H31" s="422"/>
      <c r="I31" s="422"/>
      <c r="J31" s="123"/>
      <c r="K31" s="117"/>
      <c r="L31" s="422"/>
      <c r="M31" s="422"/>
      <c r="N31" s="422"/>
      <c r="O31" s="123"/>
      <c r="P31" s="117"/>
      <c r="Q31" s="422"/>
      <c r="R31" s="422"/>
      <c r="S31" s="421"/>
    </row>
    <row r="32" spans="1:19">
      <c r="A32" s="414"/>
      <c r="B32" s="115"/>
      <c r="C32" s="117"/>
      <c r="D32" s="422"/>
      <c r="E32" s="422"/>
      <c r="F32" s="422"/>
      <c r="G32" s="422"/>
      <c r="H32" s="422"/>
      <c r="I32" s="422"/>
      <c r="J32" s="121"/>
      <c r="K32" s="117"/>
      <c r="L32" s="422"/>
      <c r="M32" s="422"/>
      <c r="N32" s="422"/>
      <c r="O32" s="117"/>
      <c r="P32" s="117"/>
      <c r="Q32" s="422"/>
      <c r="R32" s="422"/>
      <c r="S32" s="421"/>
    </row>
    <row r="33" spans="1:19">
      <c r="A33" s="414"/>
      <c r="B33" s="115"/>
      <c r="C33" s="117"/>
      <c r="D33" s="422"/>
      <c r="E33" s="422"/>
      <c r="F33" s="422"/>
      <c r="G33" s="422"/>
      <c r="H33" s="422"/>
      <c r="I33" s="422"/>
      <c r="J33" s="125"/>
      <c r="K33" s="117"/>
      <c r="L33" s="422"/>
      <c r="M33" s="422"/>
      <c r="N33" s="422"/>
      <c r="O33" s="117"/>
      <c r="P33" s="117"/>
      <c r="Q33" s="422"/>
      <c r="R33" s="422"/>
      <c r="S33" s="421"/>
    </row>
    <row r="34" spans="1:19">
      <c r="A34" s="414"/>
      <c r="B34" s="115"/>
      <c r="C34" s="117"/>
      <c r="D34" s="422"/>
      <c r="E34" s="422"/>
      <c r="F34" s="422"/>
      <c r="G34" s="422"/>
      <c r="H34" s="422"/>
      <c r="I34" s="422"/>
      <c r="J34" s="120"/>
      <c r="K34" s="117"/>
      <c r="L34" s="422"/>
      <c r="M34" s="422"/>
      <c r="N34" s="422"/>
      <c r="O34" s="120"/>
      <c r="P34" s="117"/>
      <c r="Q34" s="422"/>
      <c r="R34" s="422"/>
      <c r="S34" s="421"/>
    </row>
    <row r="35" spans="1:19">
      <c r="A35" s="414"/>
      <c r="B35" s="115"/>
      <c r="C35" s="117"/>
      <c r="D35" s="422"/>
      <c r="E35" s="422"/>
      <c r="F35" s="422"/>
      <c r="G35" s="422"/>
      <c r="H35" s="422"/>
      <c r="I35" s="422"/>
      <c r="J35" s="124"/>
      <c r="K35" s="117"/>
      <c r="L35" s="422"/>
      <c r="M35" s="422"/>
      <c r="N35" s="422"/>
      <c r="O35" s="124"/>
      <c r="P35" s="117"/>
      <c r="Q35" s="422"/>
      <c r="R35" s="422"/>
      <c r="S35" s="421"/>
    </row>
    <row r="36" spans="1:19">
      <c r="A36" s="414"/>
      <c r="B36" s="115"/>
      <c r="C36" s="117"/>
      <c r="D36" s="422"/>
      <c r="E36" s="422"/>
      <c r="F36" s="422"/>
      <c r="G36" s="422"/>
      <c r="H36" s="422"/>
      <c r="I36" s="422"/>
      <c r="J36" s="122"/>
      <c r="K36" s="117"/>
      <c r="L36" s="422"/>
      <c r="M36" s="422"/>
      <c r="N36" s="422"/>
      <c r="O36" s="117"/>
      <c r="P36" s="117"/>
      <c r="Q36" s="422"/>
      <c r="R36" s="422"/>
      <c r="S36" s="421"/>
    </row>
    <row r="37" spans="1:19">
      <c r="A37" s="416"/>
      <c r="B37" s="115"/>
      <c r="C37" s="117"/>
      <c r="D37" s="422"/>
      <c r="E37" s="422"/>
      <c r="F37" s="422"/>
      <c r="G37" s="422"/>
      <c r="H37" s="422"/>
      <c r="I37" s="422"/>
      <c r="J37" s="117"/>
      <c r="K37" s="117"/>
      <c r="L37" s="422"/>
      <c r="M37" s="422"/>
      <c r="N37" s="422"/>
      <c r="O37" s="117"/>
      <c r="P37" s="117"/>
      <c r="Q37" s="422"/>
      <c r="R37" s="422"/>
      <c r="S37" s="421"/>
    </row>
    <row r="38" spans="1:19">
      <c r="A38" s="413"/>
      <c r="B38" s="110"/>
      <c r="C38" s="118"/>
      <c r="D38" s="119"/>
      <c r="E38" s="119"/>
      <c r="F38" s="119"/>
      <c r="G38" s="119"/>
      <c r="H38" s="119"/>
      <c r="I38" s="119"/>
      <c r="J38" s="118"/>
      <c r="K38" s="118"/>
      <c r="L38" s="119"/>
      <c r="M38" s="119"/>
      <c r="N38" s="119"/>
      <c r="O38" s="118"/>
      <c r="P38" s="118"/>
      <c r="Q38" s="119"/>
      <c r="R38" s="119"/>
      <c r="S38" s="423"/>
    </row>
    <row r="39" spans="1:19">
      <c r="A39" s="414"/>
      <c r="B39" s="115"/>
      <c r="C39" s="123"/>
      <c r="D39" s="426"/>
      <c r="E39" s="426"/>
      <c r="F39" s="426"/>
      <c r="G39" s="426"/>
      <c r="H39" s="426"/>
      <c r="I39" s="426"/>
      <c r="J39" s="123"/>
      <c r="K39" s="123"/>
      <c r="L39" s="426"/>
      <c r="M39" s="426"/>
      <c r="N39" s="426"/>
      <c r="O39" s="123"/>
      <c r="P39" s="123"/>
      <c r="Q39" s="426"/>
      <c r="R39" s="426"/>
      <c r="S39" s="427"/>
    </row>
    <row r="40" spans="1:19">
      <c r="A40" s="414"/>
      <c r="B40" s="115"/>
      <c r="C40" s="117"/>
      <c r="D40" s="422"/>
      <c r="E40" s="422"/>
      <c r="F40" s="422"/>
      <c r="G40" s="422"/>
      <c r="H40" s="422"/>
      <c r="I40" s="422"/>
      <c r="J40" s="121"/>
      <c r="K40" s="117"/>
      <c r="L40" s="422"/>
      <c r="M40" s="422"/>
      <c r="N40" s="422"/>
      <c r="O40" s="117"/>
      <c r="P40" s="117"/>
      <c r="Q40" s="422"/>
      <c r="R40" s="422"/>
      <c r="S40" s="421"/>
    </row>
    <row r="41" spans="1:19">
      <c r="A41" s="414"/>
      <c r="B41" s="115"/>
      <c r="C41" s="117"/>
      <c r="D41" s="422"/>
      <c r="E41" s="422"/>
      <c r="F41" s="422"/>
      <c r="G41" s="422"/>
      <c r="H41" s="422"/>
      <c r="I41" s="422"/>
      <c r="J41" s="125"/>
      <c r="K41" s="117"/>
      <c r="L41" s="422"/>
      <c r="M41" s="422"/>
      <c r="N41" s="422"/>
      <c r="O41" s="117"/>
      <c r="P41" s="117"/>
      <c r="Q41" s="422"/>
      <c r="R41" s="422"/>
      <c r="S41" s="421"/>
    </row>
    <row r="42" spans="1:19">
      <c r="A42" s="414"/>
      <c r="B42" s="115"/>
      <c r="C42" s="120"/>
      <c r="D42" s="424"/>
      <c r="E42" s="424"/>
      <c r="F42" s="424"/>
      <c r="G42" s="424"/>
      <c r="H42" s="424"/>
      <c r="I42" s="424"/>
      <c r="J42" s="120"/>
      <c r="K42" s="120"/>
      <c r="L42" s="424"/>
      <c r="M42" s="424"/>
      <c r="N42" s="424"/>
      <c r="O42" s="120"/>
      <c r="P42" s="120"/>
      <c r="Q42" s="424"/>
      <c r="R42" s="424"/>
      <c r="S42" s="425"/>
    </row>
    <row r="43" spans="1:19">
      <c r="A43" s="414"/>
      <c r="B43" s="115"/>
      <c r="C43" s="124"/>
      <c r="D43" s="428"/>
      <c r="E43" s="428"/>
      <c r="F43" s="428"/>
      <c r="G43" s="428"/>
      <c r="H43" s="428"/>
      <c r="I43" s="428"/>
      <c r="J43" s="124"/>
      <c r="K43" s="124"/>
      <c r="L43" s="428"/>
      <c r="M43" s="428"/>
      <c r="N43" s="428"/>
      <c r="O43" s="124"/>
      <c r="P43" s="124"/>
      <c r="Q43" s="428"/>
      <c r="R43" s="428"/>
      <c r="S43" s="429"/>
    </row>
    <row r="44" spans="1:19">
      <c r="A44" s="414"/>
      <c r="B44" s="115"/>
      <c r="C44" s="117"/>
      <c r="D44" s="422"/>
      <c r="E44" s="422"/>
      <c r="F44" s="422"/>
      <c r="G44" s="422"/>
      <c r="H44" s="422"/>
      <c r="I44" s="422"/>
      <c r="J44" s="122"/>
      <c r="K44" s="117"/>
      <c r="L44" s="422"/>
      <c r="M44" s="422"/>
      <c r="N44" s="422"/>
      <c r="O44" s="117"/>
      <c r="P44" s="117"/>
      <c r="Q44" s="422"/>
      <c r="R44" s="422"/>
      <c r="S44" s="421"/>
    </row>
    <row r="45" spans="1:19">
      <c r="A45" s="416"/>
      <c r="B45" s="115"/>
      <c r="C45" s="117"/>
      <c r="D45" s="422"/>
      <c r="E45" s="422"/>
      <c r="F45" s="422"/>
      <c r="G45" s="422"/>
      <c r="H45" s="422"/>
      <c r="I45" s="422"/>
      <c r="J45" s="117"/>
      <c r="K45" s="117"/>
      <c r="L45" s="422"/>
      <c r="M45" s="422"/>
      <c r="N45" s="422"/>
      <c r="O45" s="117"/>
      <c r="P45" s="117"/>
      <c r="Q45" s="422"/>
      <c r="R45" s="422"/>
      <c r="S45" s="421"/>
    </row>
    <row r="46" spans="1:19">
      <c r="A46" s="413"/>
      <c r="B46" s="110"/>
      <c r="C46" s="118"/>
      <c r="D46" s="119"/>
      <c r="E46" s="119"/>
      <c r="F46" s="119"/>
      <c r="G46" s="119"/>
      <c r="H46" s="119"/>
      <c r="I46" s="119"/>
      <c r="J46" s="118"/>
      <c r="K46" s="118"/>
      <c r="L46" s="119"/>
      <c r="M46" s="119"/>
      <c r="N46" s="119"/>
      <c r="O46" s="118"/>
      <c r="P46" s="118"/>
      <c r="Q46" s="119"/>
      <c r="R46" s="119"/>
      <c r="S46" s="423"/>
    </row>
    <row r="47" spans="1:19">
      <c r="A47" s="414"/>
      <c r="B47" s="115"/>
      <c r="C47" s="123"/>
      <c r="D47" s="426"/>
      <c r="E47" s="426"/>
      <c r="F47" s="426"/>
      <c r="G47" s="426"/>
      <c r="H47" s="426"/>
      <c r="I47" s="426"/>
      <c r="J47" s="123"/>
      <c r="K47" s="123"/>
      <c r="L47" s="426"/>
      <c r="M47" s="426"/>
      <c r="N47" s="426"/>
      <c r="O47" s="123"/>
      <c r="P47" s="123"/>
      <c r="Q47" s="426"/>
      <c r="R47" s="426"/>
      <c r="S47" s="427"/>
    </row>
    <row r="48" spans="1:19">
      <c r="A48" s="414"/>
      <c r="B48" s="115"/>
      <c r="C48" s="117"/>
      <c r="D48" s="422"/>
      <c r="E48" s="422"/>
      <c r="F48" s="422"/>
      <c r="G48" s="422"/>
      <c r="H48" s="422"/>
      <c r="I48" s="422"/>
      <c r="J48" s="121"/>
      <c r="K48" s="117"/>
      <c r="L48" s="422"/>
      <c r="M48" s="422"/>
      <c r="N48" s="422"/>
      <c r="O48" s="117"/>
      <c r="P48" s="117"/>
      <c r="Q48" s="422"/>
      <c r="R48" s="422"/>
      <c r="S48" s="421"/>
    </row>
    <row r="49" spans="1:19">
      <c r="A49" s="414"/>
      <c r="B49" s="115"/>
      <c r="C49" s="117"/>
      <c r="D49" s="422"/>
      <c r="E49" s="422"/>
      <c r="F49" s="422"/>
      <c r="G49" s="422"/>
      <c r="H49" s="422"/>
      <c r="I49" s="422"/>
      <c r="J49" s="125"/>
      <c r="K49" s="117"/>
      <c r="L49" s="422"/>
      <c r="M49" s="422"/>
      <c r="N49" s="422"/>
      <c r="O49" s="117"/>
      <c r="P49" s="117"/>
      <c r="Q49" s="422"/>
      <c r="R49" s="422"/>
      <c r="S49" s="421"/>
    </row>
    <row r="50" spans="1:19">
      <c r="A50" s="414"/>
      <c r="B50" s="115"/>
      <c r="C50" s="120"/>
      <c r="D50" s="424"/>
      <c r="E50" s="424"/>
      <c r="F50" s="424"/>
      <c r="G50" s="424"/>
      <c r="H50" s="424"/>
      <c r="I50" s="424"/>
      <c r="J50" s="120"/>
      <c r="K50" s="120"/>
      <c r="L50" s="424"/>
      <c r="M50" s="424"/>
      <c r="N50" s="424"/>
      <c r="O50" s="120"/>
      <c r="P50" s="120"/>
      <c r="Q50" s="424"/>
      <c r="R50" s="424"/>
      <c r="S50" s="425"/>
    </row>
    <row r="51" spans="1:19">
      <c r="A51" s="414"/>
      <c r="B51" s="115"/>
      <c r="C51" s="124"/>
      <c r="D51" s="428"/>
      <c r="E51" s="428"/>
      <c r="F51" s="428"/>
      <c r="G51" s="428"/>
      <c r="H51" s="428"/>
      <c r="I51" s="428"/>
      <c r="J51" s="124"/>
      <c r="K51" s="124"/>
      <c r="L51" s="428"/>
      <c r="M51" s="428"/>
      <c r="N51" s="428"/>
      <c r="O51" s="124"/>
      <c r="P51" s="124"/>
      <c r="Q51" s="428"/>
      <c r="R51" s="428"/>
      <c r="S51" s="429"/>
    </row>
    <row r="52" spans="1:19">
      <c r="A52" s="414"/>
      <c r="B52" s="115"/>
      <c r="C52" s="117"/>
      <c r="D52" s="422"/>
      <c r="E52" s="422"/>
      <c r="F52" s="422"/>
      <c r="G52" s="422"/>
      <c r="H52" s="422"/>
      <c r="I52" s="422"/>
      <c r="J52" s="122"/>
      <c r="K52" s="117"/>
      <c r="L52" s="422"/>
      <c r="M52" s="422"/>
      <c r="N52" s="422"/>
      <c r="O52" s="117"/>
      <c r="P52" s="117"/>
      <c r="Q52" s="422"/>
      <c r="R52" s="422"/>
      <c r="S52" s="421"/>
    </row>
    <row r="53" spans="1:19">
      <c r="A53" s="416"/>
      <c r="B53" s="115"/>
      <c r="C53" s="117"/>
      <c r="D53" s="422"/>
      <c r="E53" s="422"/>
      <c r="F53" s="422"/>
      <c r="G53" s="422"/>
      <c r="H53" s="422"/>
      <c r="I53" s="422"/>
      <c r="J53" s="117"/>
      <c r="K53" s="117"/>
      <c r="L53" s="422"/>
      <c r="M53" s="422"/>
      <c r="N53" s="422"/>
      <c r="O53" s="117"/>
      <c r="P53" s="117"/>
      <c r="Q53" s="422"/>
      <c r="R53" s="422"/>
      <c r="S53" s="421"/>
    </row>
    <row r="54" spans="1:19">
      <c r="A54" s="413"/>
      <c r="B54" s="110"/>
      <c r="C54" s="118"/>
      <c r="D54" s="119"/>
      <c r="E54" s="119"/>
      <c r="F54" s="119"/>
      <c r="G54" s="119"/>
      <c r="H54" s="119"/>
      <c r="I54" s="119"/>
      <c r="J54" s="118"/>
      <c r="K54" s="118"/>
      <c r="L54" s="119"/>
      <c r="M54" s="119"/>
      <c r="N54" s="119"/>
      <c r="O54" s="118"/>
      <c r="P54" s="118"/>
      <c r="Q54" s="119"/>
      <c r="R54" s="119"/>
      <c r="S54" s="423"/>
    </row>
    <row r="55" spans="1:19">
      <c r="A55" s="414"/>
      <c r="B55" s="115"/>
      <c r="C55" s="123"/>
      <c r="D55" s="426"/>
      <c r="E55" s="426"/>
      <c r="F55" s="426"/>
      <c r="G55" s="426"/>
      <c r="H55" s="426"/>
      <c r="I55" s="426"/>
      <c r="J55" s="123"/>
      <c r="K55" s="123"/>
      <c r="L55" s="426"/>
      <c r="M55" s="426"/>
      <c r="N55" s="426"/>
      <c r="O55" s="123"/>
      <c r="P55" s="123"/>
      <c r="Q55" s="426"/>
      <c r="R55" s="426"/>
      <c r="S55" s="427"/>
    </row>
    <row r="56" spans="1:19">
      <c r="A56" s="414"/>
      <c r="B56" s="115"/>
      <c r="C56" s="117"/>
      <c r="D56" s="422"/>
      <c r="E56" s="422"/>
      <c r="F56" s="422"/>
      <c r="G56" s="422"/>
      <c r="H56" s="422"/>
      <c r="I56" s="422"/>
      <c r="J56" s="121"/>
      <c r="K56" s="117"/>
      <c r="L56" s="422"/>
      <c r="M56" s="422"/>
      <c r="N56" s="422"/>
      <c r="O56" s="117"/>
      <c r="P56" s="117"/>
      <c r="Q56" s="422"/>
      <c r="R56" s="422"/>
      <c r="S56" s="421"/>
    </row>
    <row r="57" spans="1:19">
      <c r="A57" s="414"/>
      <c r="B57" s="115"/>
      <c r="C57" s="117"/>
      <c r="D57" s="422"/>
      <c r="E57" s="422"/>
      <c r="F57" s="422"/>
      <c r="G57" s="422"/>
      <c r="H57" s="422"/>
      <c r="I57" s="422"/>
      <c r="J57" s="125"/>
      <c r="K57" s="117"/>
      <c r="L57" s="422"/>
      <c r="M57" s="422"/>
      <c r="N57" s="422"/>
      <c r="O57" s="117"/>
      <c r="P57" s="117"/>
      <c r="Q57" s="422"/>
      <c r="R57" s="422"/>
      <c r="S57" s="421"/>
    </row>
    <row r="58" spans="1:19">
      <c r="A58" s="414"/>
      <c r="B58" s="115"/>
      <c r="C58" s="120"/>
      <c r="D58" s="424"/>
      <c r="E58" s="424"/>
      <c r="F58" s="424"/>
      <c r="G58" s="424"/>
      <c r="H58" s="424"/>
      <c r="I58" s="424"/>
      <c r="J58" s="120"/>
      <c r="K58" s="120"/>
      <c r="L58" s="424"/>
      <c r="M58" s="424"/>
      <c r="N58" s="424"/>
      <c r="O58" s="120"/>
      <c r="P58" s="120"/>
      <c r="Q58" s="424"/>
      <c r="R58" s="424"/>
      <c r="S58" s="425"/>
    </row>
    <row r="59" spans="1:19">
      <c r="A59" s="414"/>
      <c r="B59" s="115"/>
      <c r="C59" s="117"/>
      <c r="D59" s="422"/>
      <c r="E59" s="422"/>
      <c r="F59" s="422"/>
      <c r="G59" s="422"/>
      <c r="H59" s="422"/>
      <c r="I59" s="422"/>
      <c r="J59" s="124"/>
      <c r="K59" s="117"/>
      <c r="L59" s="422"/>
      <c r="M59" s="422"/>
      <c r="N59" s="422"/>
      <c r="O59" s="124"/>
      <c r="P59" s="124"/>
      <c r="Q59" s="422"/>
      <c r="R59" s="422"/>
      <c r="S59" s="421"/>
    </row>
    <row r="60" spans="1:19">
      <c r="A60" s="414"/>
      <c r="B60" s="115"/>
      <c r="C60" s="117"/>
      <c r="D60" s="422"/>
      <c r="E60" s="422"/>
      <c r="F60" s="422"/>
      <c r="G60" s="422"/>
      <c r="H60" s="422"/>
      <c r="I60" s="422"/>
      <c r="J60" s="122"/>
      <c r="K60" s="117"/>
      <c r="L60" s="422"/>
      <c r="M60" s="422"/>
      <c r="N60" s="422"/>
      <c r="O60" s="117"/>
      <c r="P60" s="117"/>
      <c r="Q60" s="422"/>
      <c r="R60" s="422"/>
      <c r="S60" s="421"/>
    </row>
    <row r="61" spans="1:19">
      <c r="A61" s="414"/>
      <c r="B61" s="115"/>
      <c r="C61" s="117"/>
      <c r="D61" s="422"/>
      <c r="E61" s="422"/>
      <c r="F61" s="422"/>
      <c r="G61" s="422"/>
      <c r="H61" s="422"/>
      <c r="I61" s="422"/>
      <c r="J61" s="117"/>
      <c r="K61" s="117"/>
      <c r="L61" s="422"/>
      <c r="M61" s="422"/>
      <c r="N61" s="422"/>
      <c r="O61" s="117"/>
      <c r="P61" s="117"/>
      <c r="Q61" s="422"/>
      <c r="R61" s="422"/>
      <c r="S61" s="421"/>
    </row>
    <row r="62" spans="1:19">
      <c r="A62" s="413"/>
      <c r="B62" s="110"/>
      <c r="C62" s="118"/>
      <c r="D62" s="119"/>
      <c r="E62" s="119"/>
      <c r="F62" s="119"/>
      <c r="G62" s="119"/>
      <c r="H62" s="119"/>
      <c r="I62" s="119"/>
      <c r="J62" s="118"/>
      <c r="K62" s="118"/>
      <c r="L62" s="119"/>
      <c r="M62" s="119"/>
      <c r="N62" s="119"/>
      <c r="O62" s="118"/>
      <c r="P62" s="118"/>
      <c r="Q62" s="119"/>
      <c r="R62" s="119"/>
      <c r="S62" s="423"/>
    </row>
    <row r="63" spans="1:19">
      <c r="A63" s="414"/>
      <c r="B63" s="115"/>
      <c r="C63" s="123"/>
      <c r="D63" s="426"/>
      <c r="E63" s="426"/>
      <c r="F63" s="426"/>
      <c r="G63" s="426"/>
      <c r="H63" s="426"/>
      <c r="I63" s="426"/>
      <c r="J63" s="123"/>
      <c r="K63" s="123"/>
      <c r="L63" s="426"/>
      <c r="M63" s="426"/>
      <c r="N63" s="426"/>
      <c r="O63" s="123"/>
      <c r="P63" s="123"/>
      <c r="Q63" s="426"/>
      <c r="R63" s="426"/>
      <c r="S63" s="427"/>
    </row>
    <row r="64" spans="1:19">
      <c r="A64" s="414"/>
      <c r="B64" s="115"/>
      <c r="C64" s="117"/>
      <c r="D64" s="422"/>
      <c r="E64" s="422"/>
      <c r="F64" s="422"/>
      <c r="G64" s="422"/>
      <c r="H64" s="422"/>
      <c r="I64" s="422"/>
      <c r="J64" s="121"/>
      <c r="K64" s="117"/>
      <c r="L64" s="422"/>
      <c r="M64" s="422"/>
      <c r="N64" s="422"/>
      <c r="O64" s="117"/>
      <c r="P64" s="117"/>
      <c r="Q64" s="422"/>
      <c r="R64" s="422"/>
      <c r="S64" s="421"/>
    </row>
    <row r="65" spans="1:19">
      <c r="A65" s="414"/>
      <c r="B65" s="115"/>
      <c r="C65" s="117"/>
      <c r="D65" s="422"/>
      <c r="E65" s="422"/>
      <c r="F65" s="422"/>
      <c r="G65" s="422"/>
      <c r="H65" s="422"/>
      <c r="I65" s="422"/>
      <c r="J65" s="125"/>
      <c r="K65" s="117"/>
      <c r="L65" s="422"/>
      <c r="M65" s="422"/>
      <c r="N65" s="422"/>
      <c r="O65" s="117"/>
      <c r="P65" s="117"/>
      <c r="Q65" s="422"/>
      <c r="R65" s="422"/>
      <c r="S65" s="421"/>
    </row>
    <row r="66" spans="1:19">
      <c r="A66" s="414"/>
      <c r="B66" s="115"/>
      <c r="C66" s="117"/>
      <c r="D66" s="422"/>
      <c r="E66" s="422"/>
      <c r="F66" s="422"/>
      <c r="G66" s="422"/>
      <c r="H66" s="422"/>
      <c r="I66" s="422"/>
      <c r="J66" s="120"/>
      <c r="K66" s="117"/>
      <c r="L66" s="422"/>
      <c r="M66" s="422"/>
      <c r="N66" s="422"/>
      <c r="O66" s="120"/>
      <c r="P66" s="117"/>
      <c r="Q66" s="422"/>
      <c r="R66" s="422"/>
      <c r="S66" s="421"/>
    </row>
    <row r="67" spans="1:19">
      <c r="A67" s="414"/>
      <c r="B67" s="115"/>
      <c r="C67" s="117"/>
      <c r="D67" s="422"/>
      <c r="E67" s="422"/>
      <c r="F67" s="422"/>
      <c r="G67" s="422"/>
      <c r="H67" s="422"/>
      <c r="I67" s="422"/>
      <c r="J67" s="124"/>
      <c r="K67" s="117"/>
      <c r="L67" s="422"/>
      <c r="M67" s="422"/>
      <c r="N67" s="422"/>
      <c r="O67" s="124"/>
      <c r="P67" s="117"/>
      <c r="Q67" s="422"/>
      <c r="R67" s="422"/>
      <c r="S67" s="421"/>
    </row>
    <row r="68" spans="1:19">
      <c r="A68" s="414"/>
      <c r="B68" s="115"/>
      <c r="C68" s="117"/>
      <c r="D68" s="422"/>
      <c r="E68" s="422"/>
      <c r="F68" s="422"/>
      <c r="G68" s="422"/>
      <c r="H68" s="422"/>
      <c r="I68" s="422"/>
      <c r="J68" s="122"/>
      <c r="K68" s="117"/>
      <c r="L68" s="422"/>
      <c r="M68" s="422"/>
      <c r="N68" s="422"/>
      <c r="O68" s="117"/>
      <c r="P68" s="117"/>
      <c r="Q68" s="422"/>
      <c r="R68" s="422"/>
      <c r="S68" s="421"/>
    </row>
    <row r="69" spans="1:19">
      <c r="A69" s="416"/>
      <c r="B69" s="115"/>
      <c r="C69" s="117"/>
      <c r="D69" s="422"/>
      <c r="E69" s="422"/>
      <c r="F69" s="422"/>
      <c r="G69" s="422"/>
      <c r="H69" s="422"/>
      <c r="I69" s="422"/>
      <c r="J69" s="117"/>
      <c r="K69" s="117"/>
      <c r="L69" s="422"/>
      <c r="M69" s="422"/>
      <c r="N69" s="422"/>
      <c r="O69" s="117"/>
      <c r="P69" s="117"/>
      <c r="Q69" s="422"/>
      <c r="R69" s="422"/>
      <c r="S69" s="421"/>
    </row>
    <row r="70" spans="1:19">
      <c r="A70" s="413"/>
      <c r="B70" s="110"/>
      <c r="C70" s="418"/>
      <c r="D70" s="419"/>
      <c r="E70" s="419"/>
      <c r="F70" s="419"/>
      <c r="G70" s="419"/>
      <c r="H70" s="419"/>
      <c r="I70" s="419"/>
      <c r="J70" s="118"/>
      <c r="K70" s="418"/>
      <c r="L70" s="419"/>
      <c r="M70" s="419"/>
      <c r="N70" s="419"/>
      <c r="O70" s="118"/>
      <c r="P70" s="418"/>
      <c r="Q70" s="419"/>
      <c r="R70" s="419"/>
      <c r="S70" s="420"/>
    </row>
    <row r="71" spans="1:19">
      <c r="A71" s="414"/>
      <c r="B71" s="115"/>
      <c r="C71" s="117"/>
      <c r="D71" s="422"/>
      <c r="E71" s="422"/>
      <c r="F71" s="422"/>
      <c r="G71" s="422"/>
      <c r="H71" s="422"/>
      <c r="I71" s="422"/>
      <c r="J71" s="123"/>
      <c r="K71" s="117"/>
      <c r="L71" s="422"/>
      <c r="M71" s="422"/>
      <c r="N71" s="422"/>
      <c r="O71" s="123"/>
      <c r="P71" s="117"/>
      <c r="Q71" s="422"/>
      <c r="R71" s="422"/>
      <c r="S71" s="421"/>
    </row>
    <row r="72" spans="1:19">
      <c r="A72" s="414"/>
      <c r="B72" s="115"/>
      <c r="C72" s="117"/>
      <c r="D72" s="422"/>
      <c r="E72" s="422"/>
      <c r="F72" s="422"/>
      <c r="G72" s="422"/>
      <c r="H72" s="422"/>
      <c r="I72" s="422"/>
      <c r="J72" s="121"/>
      <c r="K72" s="117"/>
      <c r="L72" s="422"/>
      <c r="M72" s="422"/>
      <c r="N72" s="422"/>
      <c r="O72" s="117"/>
      <c r="P72" s="117"/>
      <c r="Q72" s="422"/>
      <c r="R72" s="422"/>
      <c r="S72" s="421"/>
    </row>
    <row r="73" spans="1:19">
      <c r="A73" s="414"/>
      <c r="B73" s="115"/>
      <c r="C73" s="117"/>
      <c r="D73" s="422"/>
      <c r="E73" s="422"/>
      <c r="F73" s="422"/>
      <c r="G73" s="422"/>
      <c r="H73" s="422"/>
      <c r="I73" s="422"/>
      <c r="J73" s="125"/>
      <c r="K73" s="117"/>
      <c r="L73" s="422"/>
      <c r="M73" s="422"/>
      <c r="N73" s="422"/>
      <c r="O73" s="117"/>
      <c r="P73" s="117"/>
      <c r="Q73" s="422"/>
      <c r="R73" s="422"/>
      <c r="S73" s="421"/>
    </row>
    <row r="74" spans="1:19">
      <c r="A74" s="414"/>
      <c r="B74" s="115"/>
      <c r="C74" s="117"/>
      <c r="D74" s="422"/>
      <c r="E74" s="422"/>
      <c r="F74" s="422"/>
      <c r="G74" s="422"/>
      <c r="H74" s="422"/>
      <c r="I74" s="422"/>
      <c r="J74" s="120"/>
      <c r="K74" s="117"/>
      <c r="L74" s="422"/>
      <c r="M74" s="422"/>
      <c r="N74" s="422"/>
      <c r="O74" s="120"/>
      <c r="P74" s="117"/>
      <c r="Q74" s="422"/>
      <c r="R74" s="422"/>
      <c r="S74" s="421"/>
    </row>
    <row r="75" spans="1:19">
      <c r="A75" s="414"/>
      <c r="B75" s="115"/>
      <c r="C75" s="117"/>
      <c r="D75" s="422"/>
      <c r="E75" s="422"/>
      <c r="F75" s="422"/>
      <c r="G75" s="422"/>
      <c r="H75" s="422"/>
      <c r="I75" s="422"/>
      <c r="J75" s="124"/>
      <c r="K75" s="117"/>
      <c r="L75" s="422"/>
      <c r="M75" s="422"/>
      <c r="N75" s="422"/>
      <c r="O75" s="124"/>
      <c r="P75" s="117"/>
      <c r="Q75" s="422"/>
      <c r="R75" s="422"/>
      <c r="S75" s="421"/>
    </row>
    <row r="76" spans="1:19">
      <c r="A76" s="414"/>
      <c r="B76" s="115"/>
      <c r="C76" s="117"/>
      <c r="D76" s="422"/>
      <c r="E76" s="422"/>
      <c r="F76" s="422"/>
      <c r="G76" s="422"/>
      <c r="H76" s="422"/>
      <c r="I76" s="422"/>
      <c r="J76" s="122"/>
      <c r="K76" s="117"/>
      <c r="L76" s="422"/>
      <c r="M76" s="422"/>
      <c r="N76" s="422"/>
      <c r="O76" s="117"/>
      <c r="P76" s="117"/>
      <c r="Q76" s="422"/>
      <c r="R76" s="422"/>
      <c r="S76" s="421"/>
    </row>
    <row r="77" spans="1:19">
      <c r="A77" s="416"/>
      <c r="B77" s="115"/>
      <c r="C77" s="117"/>
      <c r="D77" s="422"/>
      <c r="E77" s="422"/>
      <c r="F77" s="422"/>
      <c r="G77" s="422"/>
      <c r="H77" s="422"/>
      <c r="I77" s="422"/>
      <c r="J77" s="117"/>
      <c r="K77" s="117"/>
      <c r="L77" s="422"/>
      <c r="M77" s="422"/>
      <c r="N77" s="422"/>
      <c r="O77" s="117"/>
      <c r="P77" s="117"/>
      <c r="Q77" s="422"/>
      <c r="R77" s="422"/>
      <c r="S77" s="421"/>
    </row>
    <row r="78" spans="1:19">
      <c r="A78" s="413"/>
      <c r="B78" s="110"/>
      <c r="C78" s="418"/>
      <c r="D78" s="419"/>
      <c r="E78" s="419"/>
      <c r="F78" s="419"/>
      <c r="G78" s="419"/>
      <c r="H78" s="419"/>
      <c r="I78" s="419"/>
      <c r="J78" s="118"/>
      <c r="K78" s="418"/>
      <c r="L78" s="419"/>
      <c r="M78" s="419"/>
      <c r="N78" s="419"/>
      <c r="O78" s="118"/>
      <c r="P78" s="418"/>
      <c r="Q78" s="419"/>
      <c r="R78" s="419"/>
      <c r="S78" s="420"/>
    </row>
    <row r="79" spans="1:19">
      <c r="A79" s="414"/>
      <c r="B79" s="115"/>
      <c r="C79" s="117"/>
      <c r="D79" s="422"/>
      <c r="E79" s="422"/>
      <c r="F79" s="422"/>
      <c r="G79" s="422"/>
      <c r="H79" s="422"/>
      <c r="I79" s="422"/>
      <c r="J79" s="123"/>
      <c r="K79" s="117"/>
      <c r="L79" s="422"/>
      <c r="M79" s="422"/>
      <c r="N79" s="422"/>
      <c r="O79" s="123"/>
      <c r="P79" s="117"/>
      <c r="Q79" s="422"/>
      <c r="R79" s="422"/>
      <c r="S79" s="421"/>
    </row>
    <row r="80" spans="1:19">
      <c r="A80" s="414"/>
      <c r="B80" s="115"/>
      <c r="C80" s="117"/>
      <c r="D80" s="422"/>
      <c r="E80" s="422"/>
      <c r="F80" s="422"/>
      <c r="G80" s="422"/>
      <c r="H80" s="422"/>
      <c r="I80" s="422"/>
      <c r="J80" s="121"/>
      <c r="K80" s="117"/>
      <c r="L80" s="422"/>
      <c r="M80" s="422"/>
      <c r="N80" s="422"/>
      <c r="O80" s="117"/>
      <c r="P80" s="117"/>
      <c r="Q80" s="422"/>
      <c r="R80" s="422"/>
      <c r="S80" s="421"/>
    </row>
    <row r="81" spans="1:19">
      <c r="A81" s="414"/>
      <c r="B81" s="115"/>
      <c r="C81" s="117"/>
      <c r="D81" s="422"/>
      <c r="E81" s="422"/>
      <c r="F81" s="422"/>
      <c r="G81" s="422"/>
      <c r="H81" s="422"/>
      <c r="I81" s="422"/>
      <c r="J81" s="125"/>
      <c r="K81" s="117"/>
      <c r="L81" s="422"/>
      <c r="M81" s="422"/>
      <c r="N81" s="422"/>
      <c r="O81" s="117"/>
      <c r="P81" s="117"/>
      <c r="Q81" s="422"/>
      <c r="R81" s="422"/>
      <c r="S81" s="421"/>
    </row>
    <row r="82" spans="1:19">
      <c r="A82" s="414"/>
      <c r="B82" s="115"/>
      <c r="C82" s="117"/>
      <c r="D82" s="422"/>
      <c r="E82" s="422"/>
      <c r="F82" s="422"/>
      <c r="G82" s="422"/>
      <c r="H82" s="422"/>
      <c r="I82" s="422"/>
      <c r="J82" s="120"/>
      <c r="K82" s="117"/>
      <c r="L82" s="422"/>
      <c r="M82" s="422"/>
      <c r="N82" s="422"/>
      <c r="O82" s="120"/>
      <c r="P82" s="117"/>
      <c r="Q82" s="422"/>
      <c r="R82" s="422"/>
      <c r="S82" s="421"/>
    </row>
    <row r="83" spans="1:19">
      <c r="A83" s="414"/>
      <c r="B83" s="115"/>
      <c r="C83" s="117"/>
      <c r="D83" s="422"/>
      <c r="E83" s="422"/>
      <c r="F83" s="422"/>
      <c r="G83" s="422"/>
      <c r="H83" s="422"/>
      <c r="I83" s="422"/>
      <c r="J83" s="124"/>
      <c r="K83" s="117"/>
      <c r="L83" s="422"/>
      <c r="M83" s="422"/>
      <c r="N83" s="422"/>
      <c r="O83" s="124"/>
      <c r="P83" s="117"/>
      <c r="Q83" s="422"/>
      <c r="R83" s="422"/>
      <c r="S83" s="421"/>
    </row>
    <row r="84" spans="1:19">
      <c r="A84" s="414"/>
      <c r="B84" s="115"/>
      <c r="C84" s="117"/>
      <c r="D84" s="422"/>
      <c r="E84" s="422"/>
      <c r="F84" s="422"/>
      <c r="G84" s="422"/>
      <c r="H84" s="422"/>
      <c r="I84" s="422"/>
      <c r="J84" s="122"/>
      <c r="K84" s="117"/>
      <c r="L84" s="422"/>
      <c r="M84" s="422"/>
      <c r="N84" s="422"/>
      <c r="O84" s="117"/>
      <c r="P84" s="117"/>
      <c r="Q84" s="422"/>
      <c r="R84" s="422"/>
      <c r="S84" s="421"/>
    </row>
    <row r="85" spans="1:19">
      <c r="A85" s="416"/>
      <c r="B85" s="115"/>
      <c r="C85" s="117"/>
      <c r="D85" s="422"/>
      <c r="E85" s="422"/>
      <c r="F85" s="422"/>
      <c r="G85" s="422"/>
      <c r="H85" s="422"/>
      <c r="I85" s="422"/>
      <c r="J85" s="117"/>
      <c r="K85" s="117"/>
      <c r="L85" s="422"/>
      <c r="M85" s="422"/>
      <c r="N85" s="422"/>
      <c r="O85" s="117"/>
      <c r="P85" s="117"/>
      <c r="Q85" s="422"/>
      <c r="R85" s="422"/>
      <c r="S85" s="421"/>
    </row>
    <row r="86" spans="1:19">
      <c r="A86" s="413"/>
      <c r="B86" s="110"/>
      <c r="C86" s="418"/>
      <c r="D86" s="419"/>
      <c r="E86" s="419"/>
      <c r="F86" s="419"/>
      <c r="G86" s="419"/>
      <c r="H86" s="419"/>
      <c r="I86" s="419"/>
      <c r="J86" s="118"/>
      <c r="K86" s="418"/>
      <c r="L86" s="419"/>
      <c r="M86" s="419"/>
      <c r="N86" s="419"/>
      <c r="O86" s="118"/>
      <c r="P86" s="418"/>
      <c r="Q86" s="419"/>
      <c r="R86" s="419"/>
      <c r="S86" s="420"/>
    </row>
    <row r="87" spans="1:19">
      <c r="A87" s="414"/>
      <c r="B87" s="115"/>
      <c r="C87" s="117"/>
      <c r="D87" s="422"/>
      <c r="E87" s="422"/>
      <c r="F87" s="422"/>
      <c r="G87" s="422"/>
      <c r="H87" s="422"/>
      <c r="I87" s="422"/>
      <c r="J87" s="123"/>
      <c r="K87" s="117"/>
      <c r="L87" s="422"/>
      <c r="M87" s="422"/>
      <c r="N87" s="422"/>
      <c r="O87" s="123"/>
      <c r="P87" s="117"/>
      <c r="Q87" s="422"/>
      <c r="R87" s="422"/>
      <c r="S87" s="421"/>
    </row>
    <row r="88" spans="1:19">
      <c r="A88" s="414"/>
      <c r="B88" s="115"/>
      <c r="C88" s="117"/>
      <c r="D88" s="422"/>
      <c r="E88" s="422"/>
      <c r="F88" s="422"/>
      <c r="G88" s="422"/>
      <c r="H88" s="422"/>
      <c r="I88" s="422"/>
      <c r="J88" s="121"/>
      <c r="K88" s="117"/>
      <c r="L88" s="422"/>
      <c r="M88" s="422"/>
      <c r="N88" s="422"/>
      <c r="O88" s="117"/>
      <c r="P88" s="117"/>
      <c r="Q88" s="422"/>
      <c r="R88" s="422"/>
      <c r="S88" s="421"/>
    </row>
    <row r="89" spans="1:19">
      <c r="A89" s="414"/>
      <c r="B89" s="115"/>
      <c r="C89" s="117"/>
      <c r="D89" s="422"/>
      <c r="E89" s="422"/>
      <c r="F89" s="422"/>
      <c r="G89" s="422"/>
      <c r="H89" s="422"/>
      <c r="I89" s="422"/>
      <c r="J89" s="125"/>
      <c r="K89" s="117"/>
      <c r="L89" s="422"/>
      <c r="M89" s="422"/>
      <c r="N89" s="422"/>
      <c r="O89" s="117"/>
      <c r="P89" s="117"/>
      <c r="Q89" s="422"/>
      <c r="R89" s="422"/>
      <c r="S89" s="421"/>
    </row>
    <row r="90" spans="1:19">
      <c r="A90" s="414"/>
      <c r="B90" s="115"/>
      <c r="C90" s="117"/>
      <c r="D90" s="422"/>
      <c r="E90" s="422"/>
      <c r="F90" s="422"/>
      <c r="G90" s="422"/>
      <c r="H90" s="422"/>
      <c r="I90" s="422"/>
      <c r="J90" s="120"/>
      <c r="K90" s="117"/>
      <c r="L90" s="422"/>
      <c r="M90" s="422"/>
      <c r="N90" s="422"/>
      <c r="O90" s="120"/>
      <c r="P90" s="117"/>
      <c r="Q90" s="422"/>
      <c r="R90" s="422"/>
      <c r="S90" s="421"/>
    </row>
    <row r="91" spans="1:19">
      <c r="A91" s="414"/>
      <c r="B91" s="115"/>
      <c r="C91" s="117"/>
      <c r="D91" s="422"/>
      <c r="E91" s="422"/>
      <c r="F91" s="422"/>
      <c r="G91" s="422"/>
      <c r="H91" s="422"/>
      <c r="I91" s="422"/>
      <c r="J91" s="124"/>
      <c r="K91" s="117"/>
      <c r="L91" s="422"/>
      <c r="M91" s="422"/>
      <c r="N91" s="422"/>
      <c r="O91" s="124"/>
      <c r="P91" s="117"/>
      <c r="Q91" s="422"/>
      <c r="R91" s="422"/>
      <c r="S91" s="421"/>
    </row>
    <row r="92" spans="1:19">
      <c r="A92" s="414"/>
      <c r="B92" s="115"/>
      <c r="C92" s="117"/>
      <c r="D92" s="422"/>
      <c r="E92" s="422"/>
      <c r="F92" s="422"/>
      <c r="G92" s="422"/>
      <c r="H92" s="422"/>
      <c r="I92" s="422"/>
      <c r="J92" s="122"/>
      <c r="K92" s="117"/>
      <c r="L92" s="422"/>
      <c r="M92" s="422"/>
      <c r="N92" s="422"/>
      <c r="O92" s="117"/>
      <c r="P92" s="117"/>
      <c r="Q92" s="422"/>
      <c r="R92" s="422"/>
      <c r="S92" s="421"/>
    </row>
    <row r="93" spans="1:19">
      <c r="A93" s="416"/>
      <c r="B93" s="115"/>
      <c r="C93" s="117"/>
      <c r="D93" s="422"/>
      <c r="E93" s="422"/>
      <c r="F93" s="422"/>
      <c r="G93" s="422"/>
      <c r="H93" s="422"/>
      <c r="I93" s="422"/>
      <c r="J93" s="117"/>
      <c r="K93" s="117"/>
      <c r="L93" s="422"/>
      <c r="M93" s="422"/>
      <c r="N93" s="422"/>
      <c r="O93" s="117"/>
      <c r="P93" s="117"/>
      <c r="Q93" s="422"/>
      <c r="R93" s="422"/>
      <c r="S93" s="421"/>
    </row>
    <row r="94" spans="1:19">
      <c r="A94" s="413"/>
      <c r="B94" s="110"/>
      <c r="C94" s="418"/>
      <c r="D94" s="419"/>
      <c r="E94" s="419"/>
      <c r="F94" s="419"/>
      <c r="G94" s="419"/>
      <c r="H94" s="419"/>
      <c r="I94" s="419"/>
      <c r="J94" s="418"/>
      <c r="K94" s="418"/>
      <c r="L94" s="419"/>
      <c r="M94" s="419"/>
      <c r="N94" s="419"/>
      <c r="O94" s="418"/>
      <c r="P94" s="418"/>
      <c r="Q94" s="419"/>
      <c r="R94" s="419"/>
      <c r="S94" s="420"/>
    </row>
    <row r="95" spans="1:19">
      <c r="A95" s="414"/>
      <c r="B95" s="115"/>
      <c r="C95" s="117"/>
      <c r="D95" s="422"/>
      <c r="E95" s="422"/>
      <c r="F95" s="422"/>
      <c r="G95" s="422"/>
      <c r="H95" s="422"/>
      <c r="I95" s="422"/>
      <c r="J95" s="117"/>
      <c r="K95" s="117"/>
      <c r="L95" s="422"/>
      <c r="M95" s="422"/>
      <c r="N95" s="422"/>
      <c r="O95" s="117"/>
      <c r="P95" s="117"/>
      <c r="Q95" s="422"/>
      <c r="R95" s="422"/>
      <c r="S95" s="421"/>
    </row>
    <row r="96" spans="1:19">
      <c r="A96" s="414"/>
      <c r="B96" s="115"/>
      <c r="C96" s="117"/>
      <c r="D96" s="422"/>
      <c r="E96" s="422"/>
      <c r="F96" s="422"/>
      <c r="G96" s="422"/>
      <c r="H96" s="422"/>
      <c r="I96" s="422"/>
      <c r="J96" s="117"/>
      <c r="K96" s="117"/>
      <c r="L96" s="422"/>
      <c r="M96" s="422"/>
      <c r="N96" s="422"/>
      <c r="O96" s="117"/>
      <c r="P96" s="117"/>
      <c r="Q96" s="422"/>
      <c r="R96" s="422"/>
      <c r="S96" s="421"/>
    </row>
    <row r="97" spans="1:19">
      <c r="A97" s="414"/>
      <c r="B97" s="115"/>
      <c r="C97" s="117"/>
      <c r="D97" s="422"/>
      <c r="E97" s="422"/>
      <c r="F97" s="422"/>
      <c r="G97" s="422"/>
      <c r="H97" s="422"/>
      <c r="I97" s="422"/>
      <c r="J97" s="117"/>
      <c r="K97" s="117"/>
      <c r="L97" s="422"/>
      <c r="M97" s="422"/>
      <c r="N97" s="422"/>
      <c r="O97" s="117"/>
      <c r="P97" s="117"/>
      <c r="Q97" s="422"/>
      <c r="R97" s="422"/>
      <c r="S97" s="421"/>
    </row>
    <row r="98" spans="1:19">
      <c r="A98" s="414"/>
      <c r="B98" s="115"/>
      <c r="C98" s="117"/>
      <c r="D98" s="422"/>
      <c r="E98" s="422"/>
      <c r="F98" s="422"/>
      <c r="G98" s="422"/>
      <c r="H98" s="422"/>
      <c r="I98" s="422"/>
      <c r="J98" s="117"/>
      <c r="K98" s="117"/>
      <c r="L98" s="422"/>
      <c r="M98" s="422"/>
      <c r="N98" s="422"/>
      <c r="O98" s="117"/>
      <c r="P98" s="117"/>
      <c r="Q98" s="422"/>
      <c r="R98" s="422"/>
      <c r="S98" s="421"/>
    </row>
    <row r="99" spans="1:19">
      <c r="A99" s="414"/>
      <c r="B99" s="115"/>
      <c r="C99" s="117"/>
      <c r="D99" s="422"/>
      <c r="E99" s="422"/>
      <c r="F99" s="422"/>
      <c r="G99" s="422"/>
      <c r="H99" s="422"/>
      <c r="I99" s="422"/>
      <c r="J99" s="117"/>
      <c r="K99" s="117"/>
      <c r="L99" s="422"/>
      <c r="M99" s="422"/>
      <c r="N99" s="422"/>
      <c r="O99" s="117"/>
      <c r="P99" s="117"/>
      <c r="Q99" s="422"/>
      <c r="R99" s="422"/>
      <c r="S99" s="421"/>
    </row>
    <row r="100" spans="1:19">
      <c r="A100" s="414"/>
      <c r="B100" s="115"/>
      <c r="C100" s="117"/>
      <c r="D100" s="422"/>
      <c r="E100" s="422"/>
      <c r="F100" s="422"/>
      <c r="G100" s="422"/>
      <c r="H100" s="422"/>
      <c r="I100" s="422"/>
      <c r="J100" s="117"/>
      <c r="K100" s="117"/>
      <c r="L100" s="422"/>
      <c r="M100" s="422"/>
      <c r="N100" s="422"/>
      <c r="O100" s="117"/>
      <c r="P100" s="117"/>
      <c r="Q100" s="422"/>
      <c r="R100" s="422"/>
      <c r="S100" s="421"/>
    </row>
    <row r="101" spans="1:19">
      <c r="A101" s="416"/>
      <c r="B101" s="115"/>
      <c r="C101" s="117"/>
      <c r="D101" s="422"/>
      <c r="E101" s="422"/>
      <c r="F101" s="422"/>
      <c r="G101" s="422"/>
      <c r="H101" s="422"/>
      <c r="I101" s="422"/>
      <c r="J101" s="117"/>
      <c r="K101" s="117"/>
      <c r="L101" s="422"/>
      <c r="M101" s="422"/>
      <c r="N101" s="422"/>
      <c r="O101" s="117"/>
      <c r="P101" s="117"/>
      <c r="Q101" s="422"/>
      <c r="R101" s="422"/>
      <c r="S101" s="421"/>
    </row>
    <row r="102" spans="1:19">
      <c r="A102" s="413"/>
      <c r="B102" s="413"/>
      <c r="C102" s="432"/>
      <c r="D102" s="433"/>
      <c r="E102" s="433"/>
      <c r="F102" s="433"/>
      <c r="G102" s="433"/>
      <c r="H102" s="433"/>
      <c r="I102" s="433"/>
      <c r="J102" s="432"/>
      <c r="K102" s="432"/>
      <c r="L102" s="433"/>
      <c r="M102" s="433"/>
      <c r="N102" s="433"/>
      <c r="O102" s="432"/>
      <c r="P102" s="432"/>
      <c r="Q102" s="433"/>
      <c r="R102" s="433"/>
      <c r="S102" s="435"/>
    </row>
    <row r="103" spans="1:19">
      <c r="A103" s="414"/>
      <c r="B103" s="447"/>
      <c r="C103" s="436"/>
      <c r="D103" s="449"/>
      <c r="E103" s="449"/>
      <c r="F103" s="449"/>
      <c r="G103" s="449"/>
      <c r="H103" s="449"/>
      <c r="I103" s="449"/>
      <c r="J103" s="436"/>
      <c r="K103" s="436"/>
      <c r="L103" s="449"/>
      <c r="M103" s="449"/>
      <c r="N103" s="449"/>
      <c r="O103" s="436"/>
      <c r="P103" s="436"/>
      <c r="Q103" s="449"/>
      <c r="R103" s="449"/>
      <c r="S103" s="439"/>
    </row>
    <row r="104" spans="1:19">
      <c r="A104" s="414"/>
      <c r="B104" s="447"/>
      <c r="C104" s="436"/>
      <c r="D104" s="449"/>
      <c r="E104" s="449"/>
      <c r="F104" s="449"/>
      <c r="G104" s="449"/>
      <c r="H104" s="449"/>
      <c r="I104" s="449"/>
      <c r="J104" s="436"/>
      <c r="K104" s="436"/>
      <c r="L104" s="449"/>
      <c r="M104" s="449"/>
      <c r="N104" s="449"/>
      <c r="O104" s="436"/>
      <c r="P104" s="436"/>
      <c r="Q104" s="449"/>
      <c r="R104" s="449"/>
      <c r="S104" s="439"/>
    </row>
    <row r="105" spans="1:19">
      <c r="A105" s="414"/>
      <c r="B105" s="447"/>
      <c r="C105" s="436"/>
      <c r="D105" s="449"/>
      <c r="E105" s="449"/>
      <c r="F105" s="449"/>
      <c r="G105" s="449"/>
      <c r="H105" s="449"/>
      <c r="I105" s="449"/>
      <c r="J105" s="436"/>
      <c r="K105" s="436"/>
      <c r="L105" s="449"/>
      <c r="M105" s="449"/>
      <c r="N105" s="449"/>
      <c r="O105" s="436"/>
      <c r="P105" s="436"/>
      <c r="Q105" s="449"/>
      <c r="R105" s="449"/>
      <c r="S105" s="439"/>
    </row>
    <row r="106" spans="1:19">
      <c r="A106" s="414"/>
      <c r="B106" s="447"/>
      <c r="C106" s="436"/>
      <c r="D106" s="449"/>
      <c r="E106" s="449"/>
      <c r="F106" s="449"/>
      <c r="G106" s="449"/>
      <c r="H106" s="449"/>
      <c r="I106" s="449"/>
      <c r="J106" s="436"/>
      <c r="K106" s="436"/>
      <c r="L106" s="449"/>
      <c r="M106" s="449"/>
      <c r="N106" s="449"/>
      <c r="O106" s="436"/>
      <c r="P106" s="436"/>
      <c r="Q106" s="449"/>
      <c r="R106" s="449"/>
      <c r="S106" s="439"/>
    </row>
    <row r="107" spans="1:19">
      <c r="A107" s="414"/>
      <c r="B107" s="447"/>
      <c r="C107" s="436"/>
      <c r="D107" s="449"/>
      <c r="E107" s="449"/>
      <c r="F107" s="449"/>
      <c r="G107" s="449"/>
      <c r="H107" s="449"/>
      <c r="I107" s="449"/>
      <c r="J107" s="436"/>
      <c r="K107" s="436"/>
      <c r="L107" s="449"/>
      <c r="M107" s="449"/>
      <c r="N107" s="449"/>
      <c r="O107" s="436"/>
      <c r="P107" s="436"/>
      <c r="Q107" s="449"/>
      <c r="R107" s="449"/>
      <c r="S107" s="439"/>
    </row>
    <row r="108" spans="1:19">
      <c r="A108" s="414"/>
      <c r="B108" s="447"/>
      <c r="C108" s="436"/>
      <c r="D108" s="449"/>
      <c r="E108" s="449"/>
      <c r="F108" s="449"/>
      <c r="G108" s="449"/>
      <c r="H108" s="449"/>
      <c r="I108" s="449"/>
      <c r="J108" s="436"/>
      <c r="K108" s="436"/>
      <c r="L108" s="449"/>
      <c r="M108" s="449"/>
      <c r="N108" s="449"/>
      <c r="O108" s="436"/>
      <c r="P108" s="436"/>
      <c r="Q108" s="449"/>
      <c r="R108" s="449"/>
      <c r="S108" s="439"/>
    </row>
    <row r="109" spans="1:19">
      <c r="A109" s="416"/>
      <c r="B109" s="447"/>
      <c r="C109" s="436"/>
      <c r="D109" s="449"/>
      <c r="E109" s="449"/>
      <c r="F109" s="449"/>
      <c r="G109" s="449"/>
      <c r="H109" s="449"/>
      <c r="I109" s="449"/>
      <c r="J109" s="436"/>
      <c r="K109" s="436"/>
      <c r="L109" s="449"/>
      <c r="M109" s="449"/>
      <c r="N109" s="449"/>
      <c r="O109" s="436"/>
      <c r="P109" s="436"/>
      <c r="Q109" s="449"/>
      <c r="R109" s="449"/>
      <c r="S109" s="439"/>
    </row>
    <row r="110" spans="1:19">
      <c r="A110" s="413"/>
      <c r="B110" s="110"/>
      <c r="C110" s="418"/>
      <c r="D110" s="419"/>
      <c r="E110" s="419"/>
      <c r="F110" s="419"/>
      <c r="G110" s="419"/>
      <c r="H110" s="419"/>
      <c r="I110" s="419"/>
      <c r="J110" s="118"/>
      <c r="K110" s="418"/>
      <c r="L110" s="419"/>
      <c r="M110" s="419"/>
      <c r="N110" s="419"/>
      <c r="O110" s="118"/>
      <c r="P110" s="418"/>
      <c r="Q110" s="419"/>
      <c r="R110" s="419"/>
      <c r="S110" s="420"/>
    </row>
    <row r="111" spans="1:19">
      <c r="A111" s="414"/>
      <c r="B111" s="115"/>
      <c r="C111" s="117"/>
      <c r="D111" s="422"/>
      <c r="E111" s="422"/>
      <c r="F111" s="422"/>
      <c r="G111" s="422"/>
      <c r="H111" s="422"/>
      <c r="I111" s="422"/>
      <c r="J111" s="123"/>
      <c r="K111" s="117"/>
      <c r="L111" s="422"/>
      <c r="M111" s="422"/>
      <c r="N111" s="422"/>
      <c r="O111" s="123"/>
      <c r="P111" s="117"/>
      <c r="Q111" s="422"/>
      <c r="R111" s="422"/>
      <c r="S111" s="421"/>
    </row>
    <row r="112" spans="1:19">
      <c r="A112" s="414"/>
      <c r="B112" s="115"/>
      <c r="C112" s="117"/>
      <c r="D112" s="422"/>
      <c r="E112" s="422"/>
      <c r="F112" s="422"/>
      <c r="G112" s="422"/>
      <c r="H112" s="422"/>
      <c r="I112" s="422"/>
      <c r="J112" s="121"/>
      <c r="K112" s="117"/>
      <c r="L112" s="422"/>
      <c r="M112" s="422"/>
      <c r="N112" s="422"/>
      <c r="O112" s="117"/>
      <c r="P112" s="117"/>
      <c r="Q112" s="422"/>
      <c r="R112" s="422"/>
      <c r="S112" s="421"/>
    </row>
    <row r="113" spans="1:19">
      <c r="A113" s="414"/>
      <c r="B113" s="115"/>
      <c r="C113" s="117"/>
      <c r="D113" s="422"/>
      <c r="E113" s="422"/>
      <c r="F113" s="422"/>
      <c r="G113" s="422"/>
      <c r="H113" s="422"/>
      <c r="I113" s="422"/>
      <c r="J113" s="125"/>
      <c r="K113" s="117"/>
      <c r="L113" s="422"/>
      <c r="M113" s="422"/>
      <c r="N113" s="422"/>
      <c r="O113" s="117"/>
      <c r="P113" s="117"/>
      <c r="Q113" s="422"/>
      <c r="R113" s="422"/>
      <c r="S113" s="421"/>
    </row>
    <row r="114" spans="1:19">
      <c r="A114" s="414"/>
      <c r="B114" s="115"/>
      <c r="C114" s="117"/>
      <c r="D114" s="422"/>
      <c r="E114" s="422"/>
      <c r="F114" s="422"/>
      <c r="G114" s="422"/>
      <c r="H114" s="422"/>
      <c r="I114" s="422"/>
      <c r="J114" s="120"/>
      <c r="K114" s="117"/>
      <c r="L114" s="422"/>
      <c r="M114" s="422"/>
      <c r="N114" s="422"/>
      <c r="O114" s="120"/>
      <c r="P114" s="117"/>
      <c r="Q114" s="422"/>
      <c r="R114" s="422"/>
      <c r="S114" s="421"/>
    </row>
    <row r="115" spans="1:19">
      <c r="A115" s="414"/>
      <c r="B115" s="115"/>
      <c r="C115" s="117"/>
      <c r="D115" s="422"/>
      <c r="E115" s="422"/>
      <c r="F115" s="422"/>
      <c r="G115" s="422"/>
      <c r="H115" s="422"/>
      <c r="I115" s="422"/>
      <c r="J115" s="124"/>
      <c r="K115" s="117"/>
      <c r="L115" s="422"/>
      <c r="M115" s="422"/>
      <c r="N115" s="422"/>
      <c r="O115" s="124"/>
      <c r="P115" s="117"/>
      <c r="Q115" s="422"/>
      <c r="R115" s="422"/>
      <c r="S115" s="421"/>
    </row>
    <row r="116" spans="1:19">
      <c r="A116" s="414"/>
      <c r="B116" s="115"/>
      <c r="C116" s="117"/>
      <c r="D116" s="422"/>
      <c r="E116" s="422"/>
      <c r="F116" s="422"/>
      <c r="G116" s="422"/>
      <c r="H116" s="422"/>
      <c r="I116" s="422"/>
      <c r="J116" s="122"/>
      <c r="K116" s="117"/>
      <c r="L116" s="422"/>
      <c r="M116" s="422"/>
      <c r="N116" s="422"/>
      <c r="O116" s="117"/>
      <c r="P116" s="117"/>
      <c r="Q116" s="422"/>
      <c r="R116" s="422"/>
      <c r="S116" s="421"/>
    </row>
    <row r="117" spans="1:19">
      <c r="A117" s="416"/>
      <c r="B117" s="115"/>
      <c r="C117" s="117"/>
      <c r="D117" s="422"/>
      <c r="E117" s="422"/>
      <c r="F117" s="422"/>
      <c r="G117" s="422"/>
      <c r="H117" s="422"/>
      <c r="I117" s="422"/>
      <c r="J117" s="117"/>
      <c r="K117" s="117"/>
      <c r="L117" s="422"/>
      <c r="M117" s="422"/>
      <c r="N117" s="422"/>
      <c r="O117" s="117"/>
      <c r="P117" s="117"/>
      <c r="Q117" s="422"/>
      <c r="R117" s="422"/>
      <c r="S117" s="421"/>
    </row>
    <row r="118" spans="1:19">
      <c r="A118" s="413"/>
      <c r="B118" s="110"/>
      <c r="C118" s="418"/>
      <c r="D118" s="419"/>
      <c r="E118" s="419"/>
      <c r="F118" s="419"/>
      <c r="G118" s="419"/>
      <c r="H118" s="419"/>
      <c r="I118" s="419"/>
      <c r="J118" s="418"/>
      <c r="K118" s="418"/>
      <c r="L118" s="419"/>
      <c r="M118" s="419"/>
      <c r="N118" s="419"/>
      <c r="O118" s="418"/>
      <c r="P118" s="418"/>
      <c r="Q118" s="419"/>
      <c r="R118" s="419"/>
      <c r="S118" s="420"/>
    </row>
    <row r="119" spans="1:19">
      <c r="A119" s="414"/>
      <c r="B119" s="115"/>
      <c r="C119" s="117"/>
      <c r="D119" s="422"/>
      <c r="E119" s="422"/>
      <c r="F119" s="422"/>
      <c r="G119" s="422"/>
      <c r="H119" s="422"/>
      <c r="I119" s="422"/>
      <c r="J119" s="117"/>
      <c r="K119" s="117"/>
      <c r="L119" s="422"/>
      <c r="M119" s="422"/>
      <c r="N119" s="422"/>
      <c r="O119" s="117"/>
      <c r="P119" s="117"/>
      <c r="Q119" s="422"/>
      <c r="R119" s="422"/>
      <c r="S119" s="421"/>
    </row>
    <row r="120" spans="1:19">
      <c r="A120" s="414"/>
      <c r="B120" s="115"/>
      <c r="C120" s="117"/>
      <c r="D120" s="422"/>
      <c r="E120" s="422"/>
      <c r="F120" s="422"/>
      <c r="G120" s="422"/>
      <c r="H120" s="422"/>
      <c r="I120" s="422"/>
      <c r="J120" s="117"/>
      <c r="K120" s="117"/>
      <c r="L120" s="422"/>
      <c r="M120" s="422"/>
      <c r="N120" s="422"/>
      <c r="O120" s="117"/>
      <c r="P120" s="117"/>
      <c r="Q120" s="422"/>
      <c r="R120" s="422"/>
      <c r="S120" s="421"/>
    </row>
    <row r="121" spans="1:19">
      <c r="A121" s="414"/>
      <c r="B121" s="115"/>
      <c r="C121" s="117"/>
      <c r="D121" s="422"/>
      <c r="E121" s="422"/>
      <c r="F121" s="422"/>
      <c r="G121" s="422"/>
      <c r="H121" s="422"/>
      <c r="I121" s="422"/>
      <c r="J121" s="117"/>
      <c r="K121" s="117"/>
      <c r="L121" s="422"/>
      <c r="M121" s="422"/>
      <c r="N121" s="422"/>
      <c r="O121" s="117"/>
      <c r="P121" s="117"/>
      <c r="Q121" s="422"/>
      <c r="R121" s="422"/>
      <c r="S121" s="421"/>
    </row>
    <row r="122" spans="1:19">
      <c r="A122" s="414"/>
      <c r="B122" s="115"/>
      <c r="C122" s="117"/>
      <c r="D122" s="422"/>
      <c r="E122" s="422"/>
      <c r="F122" s="422"/>
      <c r="G122" s="422"/>
      <c r="H122" s="422"/>
      <c r="I122" s="422"/>
      <c r="J122" s="117"/>
      <c r="K122" s="117"/>
      <c r="L122" s="422"/>
      <c r="M122" s="422"/>
      <c r="N122" s="422"/>
      <c r="O122" s="117"/>
      <c r="P122" s="117"/>
      <c r="Q122" s="422"/>
      <c r="R122" s="422"/>
      <c r="S122" s="421"/>
    </row>
    <row r="123" spans="1:19">
      <c r="A123" s="414"/>
      <c r="B123" s="115"/>
      <c r="C123" s="117"/>
      <c r="D123" s="422"/>
      <c r="E123" s="422"/>
      <c r="F123" s="422"/>
      <c r="G123" s="422"/>
      <c r="H123" s="422"/>
      <c r="I123" s="422"/>
      <c r="J123" s="117"/>
      <c r="K123" s="117"/>
      <c r="L123" s="422"/>
      <c r="M123" s="422"/>
      <c r="N123" s="422"/>
      <c r="O123" s="117"/>
      <c r="P123" s="117"/>
      <c r="Q123" s="422"/>
      <c r="R123" s="422"/>
      <c r="S123" s="421"/>
    </row>
    <row r="124" spans="1:19">
      <c r="A124" s="414"/>
      <c r="B124" s="115"/>
      <c r="C124" s="117"/>
      <c r="D124" s="422"/>
      <c r="E124" s="422"/>
      <c r="F124" s="422"/>
      <c r="G124" s="422"/>
      <c r="H124" s="422"/>
      <c r="I124" s="422"/>
      <c r="J124" s="117"/>
      <c r="K124" s="117"/>
      <c r="L124" s="422"/>
      <c r="M124" s="422"/>
      <c r="N124" s="422"/>
      <c r="O124" s="117"/>
      <c r="P124" s="117"/>
      <c r="Q124" s="422"/>
      <c r="R124" s="422"/>
      <c r="S124" s="421"/>
    </row>
    <row r="125" spans="1:19">
      <c r="A125" s="416"/>
      <c r="B125" s="115"/>
      <c r="C125" s="117"/>
      <c r="D125" s="422"/>
      <c r="E125" s="422"/>
      <c r="F125" s="422"/>
      <c r="G125" s="422"/>
      <c r="H125" s="422"/>
      <c r="I125" s="422"/>
      <c r="J125" s="117"/>
      <c r="K125" s="117"/>
      <c r="L125" s="422"/>
      <c r="M125" s="422"/>
      <c r="N125" s="422"/>
      <c r="O125" s="117"/>
      <c r="P125" s="117"/>
      <c r="Q125" s="422"/>
      <c r="R125" s="422"/>
      <c r="S125" s="421"/>
    </row>
    <row r="126" spans="1:19">
      <c r="A126" s="413"/>
      <c r="B126" s="413"/>
      <c r="C126" s="432"/>
      <c r="D126" s="433"/>
      <c r="E126" s="433"/>
      <c r="F126" s="433"/>
      <c r="G126" s="433"/>
      <c r="H126" s="433"/>
      <c r="I126" s="433"/>
      <c r="J126" s="434"/>
      <c r="K126" s="432"/>
      <c r="L126" s="433"/>
      <c r="M126" s="433"/>
      <c r="N126" s="433"/>
      <c r="O126" s="434"/>
      <c r="P126" s="432"/>
      <c r="Q126" s="433"/>
      <c r="R126" s="433"/>
      <c r="S126" s="435"/>
    </row>
    <row r="127" spans="1:19">
      <c r="A127" s="414"/>
      <c r="B127" s="447"/>
      <c r="C127" s="436"/>
      <c r="D127" s="449"/>
      <c r="E127" s="449"/>
      <c r="F127" s="449"/>
      <c r="G127" s="449"/>
      <c r="H127" s="449"/>
      <c r="I127" s="449"/>
      <c r="J127" s="438"/>
      <c r="K127" s="436"/>
      <c r="L127" s="449"/>
      <c r="M127" s="449"/>
      <c r="N127" s="449"/>
      <c r="O127" s="438"/>
      <c r="P127" s="436"/>
      <c r="Q127" s="449"/>
      <c r="R127" s="449"/>
      <c r="S127" s="439"/>
    </row>
    <row r="128" spans="1:19">
      <c r="A128" s="414"/>
      <c r="B128" s="447"/>
      <c r="C128" s="436"/>
      <c r="D128" s="449"/>
      <c r="E128" s="449"/>
      <c r="F128" s="449"/>
      <c r="G128" s="449"/>
      <c r="H128" s="449"/>
      <c r="I128" s="449"/>
      <c r="J128" s="440"/>
      <c r="K128" s="436"/>
      <c r="L128" s="449"/>
      <c r="M128" s="449"/>
      <c r="N128" s="449"/>
      <c r="O128" s="436"/>
      <c r="P128" s="436"/>
      <c r="Q128" s="449"/>
      <c r="R128" s="449"/>
      <c r="S128" s="439"/>
    </row>
    <row r="129" spans="1:19">
      <c r="A129" s="414"/>
      <c r="B129" s="447"/>
      <c r="C129" s="436"/>
      <c r="D129" s="449"/>
      <c r="E129" s="449"/>
      <c r="F129" s="449"/>
      <c r="G129" s="449"/>
      <c r="H129" s="449"/>
      <c r="I129" s="449"/>
      <c r="J129" s="441"/>
      <c r="K129" s="436"/>
      <c r="L129" s="449"/>
      <c r="M129" s="449"/>
      <c r="N129" s="449"/>
      <c r="O129" s="436"/>
      <c r="P129" s="436"/>
      <c r="Q129" s="449"/>
      <c r="R129" s="449"/>
      <c r="S129" s="439"/>
    </row>
    <row r="130" spans="1:19">
      <c r="A130" s="414"/>
      <c r="B130" s="447"/>
      <c r="C130" s="436"/>
      <c r="D130" s="449"/>
      <c r="E130" s="449"/>
      <c r="F130" s="449"/>
      <c r="G130" s="449"/>
      <c r="H130" s="449"/>
      <c r="I130" s="449"/>
      <c r="J130" s="442"/>
      <c r="K130" s="436"/>
      <c r="L130" s="449"/>
      <c r="M130" s="449"/>
      <c r="N130" s="449"/>
      <c r="O130" s="442"/>
      <c r="P130" s="436"/>
      <c r="Q130" s="449"/>
      <c r="R130" s="449"/>
      <c r="S130" s="439"/>
    </row>
    <row r="131" spans="1:19">
      <c r="A131" s="414"/>
      <c r="B131" s="447"/>
      <c r="C131" s="436"/>
      <c r="D131" s="449"/>
      <c r="E131" s="449"/>
      <c r="F131" s="449"/>
      <c r="G131" s="449"/>
      <c r="H131" s="449"/>
      <c r="I131" s="449"/>
      <c r="J131" s="443"/>
      <c r="K131" s="436"/>
      <c r="L131" s="449"/>
      <c r="M131" s="449"/>
      <c r="N131" s="449"/>
      <c r="O131" s="443"/>
      <c r="P131" s="436"/>
      <c r="Q131" s="449"/>
      <c r="R131" s="449"/>
      <c r="S131" s="439"/>
    </row>
    <row r="132" spans="1:19">
      <c r="A132" s="414"/>
      <c r="B132" s="447"/>
      <c r="C132" s="436"/>
      <c r="D132" s="449"/>
      <c r="E132" s="449"/>
      <c r="F132" s="449"/>
      <c r="G132" s="449"/>
      <c r="H132" s="449"/>
      <c r="I132" s="449"/>
      <c r="J132" s="444"/>
      <c r="K132" s="436"/>
      <c r="L132" s="449"/>
      <c r="M132" s="449"/>
      <c r="N132" s="449"/>
      <c r="O132" s="436"/>
      <c r="P132" s="436"/>
      <c r="Q132" s="449"/>
      <c r="R132" s="449"/>
      <c r="S132" s="439"/>
    </row>
    <row r="133" spans="1:19">
      <c r="A133" s="417"/>
      <c r="B133" s="453"/>
      <c r="C133" s="450"/>
      <c r="D133" s="451"/>
      <c r="E133" s="451"/>
      <c r="F133" s="451"/>
      <c r="G133" s="451"/>
      <c r="H133" s="451"/>
      <c r="I133" s="451"/>
      <c r="J133" s="450"/>
      <c r="K133" s="450"/>
      <c r="L133" s="451"/>
      <c r="M133" s="451"/>
      <c r="N133" s="451"/>
      <c r="O133" s="450"/>
      <c r="P133" s="450"/>
      <c r="Q133" s="451"/>
      <c r="R133" s="451"/>
      <c r="S133" s="452"/>
    </row>
    <row r="134" spans="1:19">
      <c r="A134"/>
      <c r="B134"/>
      <c r="C134"/>
      <c r="D134"/>
      <c r="E134"/>
      <c r="F134"/>
      <c r="G134"/>
      <c r="H134"/>
      <c r="I134"/>
      <c r="J134"/>
      <c r="K134"/>
      <c r="L134"/>
      <c r="M134"/>
      <c r="N134"/>
      <c r="O134"/>
      <c r="P134"/>
      <c r="Q134"/>
      <c r="R134"/>
      <c r="S134"/>
    </row>
    <row r="135" spans="1:19">
      <c r="A135"/>
      <c r="B135"/>
      <c r="C135"/>
      <c r="D135"/>
      <c r="E135"/>
      <c r="F135"/>
      <c r="G135"/>
      <c r="H135"/>
      <c r="I135"/>
      <c r="J135"/>
      <c r="K135"/>
      <c r="L135"/>
      <c r="M135"/>
      <c r="N135"/>
      <c r="O135"/>
      <c r="P135"/>
      <c r="Q135"/>
      <c r="R135"/>
      <c r="S135"/>
    </row>
    <row r="136" spans="1:19">
      <c r="A136"/>
      <c r="B136"/>
      <c r="C136"/>
      <c r="D136"/>
      <c r="E136"/>
      <c r="F136"/>
      <c r="G136"/>
      <c r="H136"/>
      <c r="I136"/>
      <c r="J136"/>
      <c r="K136"/>
      <c r="L136"/>
      <c r="M136"/>
      <c r="N136"/>
      <c r="O136"/>
      <c r="P136"/>
      <c r="Q136"/>
      <c r="R136"/>
      <c r="S136"/>
    </row>
    <row r="137" spans="1:19">
      <c r="A137"/>
      <c r="B137"/>
      <c r="C137"/>
      <c r="D137"/>
      <c r="E137"/>
      <c r="F137"/>
      <c r="G137"/>
      <c r="H137"/>
      <c r="I137"/>
      <c r="J137"/>
      <c r="K137"/>
      <c r="L137"/>
      <c r="M137"/>
      <c r="N137"/>
      <c r="O137"/>
      <c r="P137"/>
      <c r="Q137"/>
      <c r="R137"/>
      <c r="S137"/>
    </row>
    <row r="138" spans="1:19">
      <c r="A138"/>
      <c r="B138"/>
      <c r="C138"/>
      <c r="D138"/>
      <c r="E138"/>
      <c r="F138"/>
      <c r="G138"/>
      <c r="H138"/>
      <c r="I138"/>
      <c r="J138"/>
      <c r="K138"/>
      <c r="L138"/>
      <c r="M138"/>
      <c r="N138"/>
      <c r="O138"/>
      <c r="P138"/>
      <c r="Q138"/>
      <c r="R138"/>
      <c r="S138"/>
    </row>
    <row r="139" spans="1:19">
      <c r="A139"/>
      <c r="B139"/>
      <c r="C139"/>
      <c r="D139"/>
      <c r="E139"/>
      <c r="F139"/>
      <c r="G139"/>
      <c r="H139"/>
      <c r="I139"/>
      <c r="J139"/>
      <c r="K139"/>
      <c r="L139"/>
      <c r="M139"/>
      <c r="N139"/>
      <c r="O139"/>
      <c r="P139"/>
      <c r="Q139"/>
      <c r="R139"/>
      <c r="S139"/>
    </row>
    <row r="140" spans="1:19">
      <c r="A140"/>
      <c r="B140"/>
      <c r="C140"/>
      <c r="D140"/>
      <c r="E140"/>
      <c r="F140"/>
      <c r="G140"/>
      <c r="H140"/>
      <c r="I140"/>
      <c r="J140"/>
      <c r="K140"/>
      <c r="L140"/>
      <c r="M140"/>
      <c r="N140"/>
      <c r="O140"/>
      <c r="P140"/>
      <c r="Q140"/>
      <c r="R140"/>
      <c r="S140"/>
    </row>
    <row r="141" spans="1:19">
      <c r="A141"/>
      <c r="B141"/>
      <c r="C141"/>
      <c r="D141"/>
      <c r="E141"/>
      <c r="F141"/>
      <c r="G141"/>
      <c r="H141"/>
      <c r="I141"/>
      <c r="J141"/>
      <c r="K141"/>
      <c r="L141"/>
      <c r="M141"/>
      <c r="N141"/>
      <c r="O141"/>
      <c r="P141"/>
      <c r="Q141"/>
      <c r="R141"/>
      <c r="S141"/>
    </row>
    <row r="142" spans="1:19">
      <c r="A142"/>
      <c r="B142"/>
      <c r="C142"/>
      <c r="D142"/>
      <c r="E142"/>
      <c r="F142"/>
      <c r="G142"/>
      <c r="H142"/>
      <c r="I142"/>
      <c r="J142"/>
      <c r="K142"/>
      <c r="L142"/>
      <c r="M142"/>
      <c r="N142"/>
      <c r="O142"/>
      <c r="P142"/>
      <c r="Q142"/>
      <c r="R142"/>
      <c r="S142"/>
    </row>
    <row r="143" spans="1:19">
      <c r="A143"/>
      <c r="B143"/>
      <c r="C143"/>
      <c r="D143"/>
      <c r="E143"/>
      <c r="F143"/>
      <c r="G143"/>
      <c r="H143"/>
      <c r="I143"/>
      <c r="J143"/>
      <c r="K143"/>
      <c r="L143"/>
      <c r="M143"/>
      <c r="N143"/>
      <c r="O143"/>
      <c r="P143"/>
      <c r="Q143"/>
      <c r="R143"/>
      <c r="S143"/>
    </row>
    <row r="144" spans="1:19">
      <c r="A144"/>
      <c r="B144"/>
      <c r="C144"/>
      <c r="D144"/>
      <c r="E144"/>
      <c r="F144"/>
      <c r="G144"/>
      <c r="H144"/>
      <c r="I144"/>
      <c r="J144"/>
      <c r="K144"/>
      <c r="L144"/>
      <c r="M144"/>
      <c r="N144"/>
      <c r="O144"/>
      <c r="P144"/>
      <c r="Q144"/>
      <c r="R144"/>
      <c r="S144"/>
    </row>
    <row r="145" spans="1:19">
      <c r="A145"/>
      <c r="B145"/>
      <c r="C145"/>
      <c r="D145"/>
      <c r="E145"/>
      <c r="F145"/>
      <c r="G145"/>
      <c r="H145"/>
      <c r="I145"/>
      <c r="J145"/>
      <c r="K145"/>
      <c r="L145"/>
      <c r="M145"/>
      <c r="N145"/>
      <c r="O145"/>
      <c r="P145"/>
      <c r="Q145"/>
      <c r="R145"/>
      <c r="S145"/>
    </row>
    <row r="146" spans="1:19">
      <c r="A146"/>
      <c r="B146"/>
      <c r="C146"/>
      <c r="D146"/>
      <c r="E146"/>
      <c r="F146"/>
      <c r="G146"/>
      <c r="H146"/>
      <c r="I146"/>
      <c r="J146"/>
      <c r="K146"/>
      <c r="L146"/>
      <c r="M146"/>
      <c r="N146"/>
      <c r="O146"/>
      <c r="P146"/>
      <c r="Q146"/>
      <c r="R146"/>
      <c r="S146"/>
    </row>
    <row r="147" spans="1:19">
      <c r="A147"/>
      <c r="B147"/>
      <c r="C147"/>
      <c r="D147"/>
      <c r="E147"/>
      <c r="F147"/>
      <c r="G147"/>
      <c r="H147"/>
      <c r="I147"/>
      <c r="J147"/>
      <c r="K147"/>
      <c r="L147"/>
      <c r="M147"/>
      <c r="N147"/>
      <c r="O147"/>
      <c r="P147"/>
      <c r="Q147"/>
      <c r="R147"/>
      <c r="S147"/>
    </row>
    <row r="148" spans="1:19">
      <c r="A148"/>
      <c r="B148"/>
      <c r="C148"/>
      <c r="D148"/>
      <c r="E148"/>
      <c r="F148"/>
      <c r="G148"/>
      <c r="H148"/>
      <c r="I148"/>
      <c r="J148"/>
      <c r="K148"/>
      <c r="L148"/>
      <c r="M148"/>
      <c r="N148"/>
      <c r="O148"/>
      <c r="P148"/>
      <c r="Q148"/>
      <c r="R148"/>
      <c r="S148"/>
    </row>
    <row r="149" spans="1:19">
      <c r="A149"/>
      <c r="B149"/>
      <c r="C149"/>
      <c r="D149"/>
      <c r="E149"/>
      <c r="F149"/>
      <c r="G149"/>
      <c r="H149"/>
      <c r="I149"/>
      <c r="J149"/>
      <c r="K149"/>
      <c r="L149"/>
      <c r="M149"/>
      <c r="N149"/>
      <c r="O149"/>
      <c r="P149"/>
      <c r="Q149"/>
      <c r="R149"/>
      <c r="S149"/>
    </row>
    <row r="150" spans="1:19">
      <c r="A150"/>
      <c r="B150"/>
      <c r="C150"/>
      <c r="D150"/>
      <c r="E150"/>
      <c r="F150"/>
      <c r="G150"/>
      <c r="H150"/>
      <c r="I150"/>
      <c r="J150"/>
      <c r="K150"/>
      <c r="L150"/>
      <c r="M150"/>
      <c r="N150"/>
      <c r="O150"/>
      <c r="P150"/>
      <c r="Q150"/>
      <c r="R150"/>
      <c r="S150"/>
    </row>
    <row r="151" spans="1:19">
      <c r="A151"/>
      <c r="B151"/>
      <c r="C151"/>
      <c r="D151"/>
      <c r="E151"/>
      <c r="F151"/>
      <c r="G151"/>
      <c r="H151"/>
      <c r="I151"/>
      <c r="J151"/>
      <c r="K151"/>
      <c r="L151"/>
      <c r="M151"/>
      <c r="N151"/>
      <c r="O151"/>
      <c r="P151"/>
      <c r="Q151"/>
      <c r="R151"/>
      <c r="S151"/>
    </row>
    <row r="152" spans="1:19">
      <c r="A152"/>
      <c r="B152"/>
      <c r="C152"/>
      <c r="D152"/>
      <c r="E152"/>
      <c r="F152"/>
      <c r="G152"/>
      <c r="H152"/>
      <c r="I152"/>
      <c r="J152"/>
      <c r="K152"/>
      <c r="L152"/>
      <c r="M152"/>
      <c r="N152"/>
      <c r="O152"/>
      <c r="P152"/>
      <c r="Q152"/>
      <c r="R152"/>
      <c r="S152"/>
    </row>
    <row r="153" spans="1:19">
      <c r="A153"/>
      <c r="B153"/>
      <c r="C153"/>
      <c r="D153"/>
      <c r="E153"/>
      <c r="F153"/>
      <c r="G153"/>
      <c r="H153"/>
      <c r="I153"/>
      <c r="J153"/>
      <c r="K153"/>
      <c r="L153"/>
      <c r="M153"/>
      <c r="N153"/>
      <c r="O153"/>
      <c r="P153"/>
      <c r="Q153"/>
      <c r="R153"/>
      <c r="S153"/>
    </row>
    <row r="154" spans="1:19">
      <c r="A154"/>
      <c r="B154"/>
      <c r="C154"/>
      <c r="D154"/>
      <c r="E154"/>
      <c r="F154"/>
      <c r="G154"/>
      <c r="H154"/>
      <c r="I154"/>
      <c r="J154"/>
      <c r="K154"/>
      <c r="L154"/>
      <c r="M154"/>
      <c r="N154"/>
      <c r="O154"/>
      <c r="P154"/>
      <c r="Q154"/>
      <c r="R154"/>
      <c r="S154"/>
    </row>
    <row r="155" spans="1:19">
      <c r="A155"/>
      <c r="B155"/>
      <c r="C155"/>
      <c r="D155"/>
      <c r="E155"/>
      <c r="F155"/>
      <c r="G155"/>
      <c r="H155"/>
      <c r="I155"/>
      <c r="J155"/>
      <c r="K155"/>
      <c r="L155"/>
      <c r="M155"/>
      <c r="N155"/>
      <c r="O155"/>
      <c r="P155"/>
      <c r="Q155"/>
      <c r="R155"/>
      <c r="S155"/>
    </row>
    <row r="156" spans="1:19">
      <c r="A156"/>
      <c r="B156"/>
      <c r="C156"/>
      <c r="D156"/>
      <c r="E156"/>
      <c r="F156"/>
      <c r="G156"/>
      <c r="H156"/>
      <c r="I156"/>
      <c r="J156"/>
      <c r="K156"/>
      <c r="L156"/>
      <c r="M156"/>
      <c r="N156"/>
      <c r="O156"/>
      <c r="P156"/>
      <c r="Q156"/>
      <c r="R156"/>
      <c r="S156"/>
    </row>
    <row r="157" spans="1:19">
      <c r="A157"/>
      <c r="B157"/>
      <c r="C157"/>
      <c r="D157"/>
      <c r="E157"/>
      <c r="F157"/>
      <c r="G157"/>
      <c r="H157"/>
      <c r="I157"/>
      <c r="J157"/>
      <c r="K157"/>
      <c r="L157"/>
      <c r="M157"/>
      <c r="N157"/>
      <c r="O157"/>
      <c r="P157"/>
      <c r="Q157"/>
      <c r="R157"/>
      <c r="S157"/>
    </row>
    <row r="158" spans="1:19">
      <c r="A158"/>
      <c r="B158"/>
      <c r="C158"/>
      <c r="D158"/>
      <c r="E158"/>
      <c r="F158"/>
      <c r="G158"/>
      <c r="H158"/>
      <c r="I158"/>
      <c r="J158"/>
      <c r="K158"/>
      <c r="L158"/>
      <c r="M158"/>
      <c r="N158"/>
      <c r="O158"/>
      <c r="P158"/>
      <c r="Q158"/>
      <c r="R158"/>
      <c r="S158"/>
    </row>
    <row r="159" spans="1:19">
      <c r="A159"/>
      <c r="B159"/>
      <c r="C159"/>
      <c r="D159"/>
      <c r="E159"/>
      <c r="F159"/>
      <c r="G159"/>
      <c r="H159"/>
      <c r="I159"/>
      <c r="J159"/>
      <c r="K159"/>
      <c r="L159"/>
      <c r="M159"/>
      <c r="N159"/>
      <c r="O159"/>
      <c r="P159"/>
      <c r="Q159"/>
      <c r="R159"/>
      <c r="S159"/>
    </row>
    <row r="160" spans="1:19">
      <c r="A160"/>
      <c r="B160"/>
      <c r="C160"/>
      <c r="D160"/>
      <c r="E160"/>
      <c r="F160"/>
      <c r="G160"/>
      <c r="H160"/>
      <c r="I160"/>
      <c r="J160"/>
      <c r="K160"/>
      <c r="L160"/>
      <c r="M160"/>
      <c r="N160"/>
      <c r="O160"/>
      <c r="P160"/>
      <c r="Q160"/>
      <c r="R160"/>
      <c r="S160"/>
    </row>
    <row r="161" spans="1:19">
      <c r="A161"/>
      <c r="B161"/>
      <c r="C161"/>
      <c r="D161"/>
      <c r="E161"/>
      <c r="F161"/>
      <c r="G161"/>
      <c r="H161"/>
      <c r="I161"/>
      <c r="J161"/>
      <c r="K161"/>
      <c r="L161"/>
      <c r="M161"/>
      <c r="N161"/>
      <c r="O161"/>
      <c r="P161"/>
      <c r="Q161"/>
      <c r="R161"/>
      <c r="S161"/>
    </row>
    <row r="162" spans="1:19">
      <c r="A162"/>
      <c r="B162"/>
      <c r="C162"/>
      <c r="D162"/>
      <c r="E162"/>
      <c r="F162"/>
      <c r="G162"/>
      <c r="H162"/>
      <c r="I162"/>
      <c r="J162"/>
      <c r="K162"/>
      <c r="L162"/>
      <c r="M162"/>
      <c r="N162"/>
      <c r="O162"/>
      <c r="P162"/>
      <c r="Q162"/>
      <c r="R162"/>
      <c r="S162"/>
    </row>
    <row r="163" spans="1:19">
      <c r="A163"/>
      <c r="B163"/>
      <c r="C163"/>
      <c r="D163"/>
      <c r="E163"/>
      <c r="F163"/>
      <c r="G163"/>
      <c r="H163"/>
      <c r="I163"/>
      <c r="J163"/>
      <c r="K163"/>
      <c r="L163"/>
      <c r="M163"/>
      <c r="N163"/>
      <c r="O163"/>
      <c r="P163"/>
      <c r="Q163"/>
      <c r="R163"/>
      <c r="S163"/>
    </row>
    <row r="164" spans="1:19">
      <c r="A164"/>
      <c r="B164"/>
      <c r="C164"/>
      <c r="D164"/>
      <c r="E164"/>
      <c r="F164"/>
      <c r="G164"/>
      <c r="H164"/>
      <c r="I164"/>
      <c r="J164"/>
      <c r="K164"/>
      <c r="L164"/>
      <c r="M164"/>
      <c r="N164"/>
      <c r="O164"/>
      <c r="P164"/>
      <c r="Q164"/>
      <c r="R164"/>
      <c r="S164"/>
    </row>
    <row r="165" spans="1:19">
      <c r="A165"/>
      <c r="B165"/>
      <c r="C165"/>
      <c r="D165"/>
      <c r="E165"/>
      <c r="F165"/>
      <c r="G165"/>
      <c r="H165"/>
      <c r="I165"/>
      <c r="J165"/>
      <c r="K165"/>
      <c r="L165"/>
      <c r="M165"/>
      <c r="N165"/>
      <c r="O165"/>
      <c r="P165"/>
      <c r="Q165"/>
      <c r="R165"/>
      <c r="S165"/>
    </row>
    <row r="166" spans="1:19">
      <c r="A166"/>
      <c r="B166"/>
      <c r="C166"/>
      <c r="D166"/>
      <c r="E166"/>
      <c r="F166"/>
      <c r="G166"/>
      <c r="H166"/>
      <c r="I166"/>
      <c r="J166"/>
      <c r="K166"/>
      <c r="L166"/>
      <c r="M166"/>
      <c r="N166"/>
      <c r="O166"/>
      <c r="P166"/>
      <c r="Q166"/>
      <c r="R166"/>
      <c r="S166"/>
    </row>
    <row r="167" spans="1:19">
      <c r="A167"/>
      <c r="B167"/>
      <c r="C167"/>
      <c r="D167"/>
      <c r="E167"/>
      <c r="F167"/>
      <c r="G167"/>
      <c r="H167"/>
      <c r="I167"/>
      <c r="J167"/>
      <c r="K167"/>
      <c r="L167"/>
      <c r="M167"/>
      <c r="N167"/>
      <c r="O167"/>
      <c r="P167"/>
      <c r="Q167"/>
      <c r="R167"/>
      <c r="S167"/>
    </row>
    <row r="168" spans="1:19">
      <c r="A168"/>
      <c r="B168"/>
      <c r="C168"/>
      <c r="D168"/>
      <c r="E168"/>
      <c r="F168"/>
      <c r="G168"/>
      <c r="H168"/>
      <c r="I168"/>
      <c r="J168"/>
      <c r="K168"/>
      <c r="L168"/>
      <c r="M168"/>
      <c r="N168"/>
      <c r="O168"/>
      <c r="P168"/>
      <c r="Q168"/>
      <c r="R168"/>
      <c r="S168"/>
    </row>
    <row r="169" spans="1:19">
      <c r="A169"/>
      <c r="B169"/>
      <c r="C169"/>
      <c r="D169"/>
      <c r="E169"/>
      <c r="F169"/>
      <c r="G169"/>
      <c r="H169"/>
      <c r="I169"/>
      <c r="J169"/>
      <c r="K169"/>
      <c r="L169"/>
      <c r="M169"/>
      <c r="N169"/>
      <c r="O169"/>
      <c r="P169"/>
      <c r="Q169"/>
      <c r="R169"/>
      <c r="S169"/>
    </row>
    <row r="170" spans="1:19">
      <c r="A170"/>
      <c r="B170"/>
      <c r="C170"/>
      <c r="D170"/>
      <c r="E170"/>
      <c r="F170"/>
      <c r="G170"/>
      <c r="H170"/>
      <c r="I170"/>
      <c r="J170"/>
      <c r="K170"/>
      <c r="L170"/>
      <c r="M170"/>
      <c r="N170"/>
      <c r="O170"/>
      <c r="P170"/>
      <c r="Q170"/>
      <c r="R170"/>
      <c r="S170"/>
    </row>
    <row r="171" spans="1:19">
      <c r="A171"/>
      <c r="B171"/>
      <c r="C171"/>
      <c r="D171"/>
      <c r="E171"/>
      <c r="F171"/>
      <c r="G171"/>
      <c r="H171"/>
      <c r="I171"/>
      <c r="J171"/>
      <c r="K171"/>
      <c r="L171"/>
      <c r="M171"/>
      <c r="N171"/>
      <c r="O171"/>
      <c r="P171"/>
      <c r="Q171"/>
      <c r="R171"/>
      <c r="S171"/>
    </row>
    <row r="172" spans="1:19">
      <c r="A172"/>
      <c r="B172"/>
      <c r="C172"/>
      <c r="D172"/>
      <c r="E172"/>
      <c r="F172"/>
      <c r="G172"/>
      <c r="H172"/>
      <c r="I172"/>
      <c r="J172"/>
      <c r="K172"/>
      <c r="L172"/>
      <c r="M172"/>
      <c r="N172"/>
      <c r="O172"/>
      <c r="P172"/>
      <c r="Q172"/>
      <c r="R172"/>
      <c r="S172"/>
    </row>
    <row r="173" spans="1:19">
      <c r="A173"/>
      <c r="B173"/>
      <c r="C173"/>
      <c r="D173"/>
      <c r="E173"/>
      <c r="F173"/>
      <c r="G173"/>
      <c r="H173"/>
      <c r="I173"/>
      <c r="J173"/>
      <c r="K173"/>
      <c r="L173"/>
      <c r="M173"/>
      <c r="N173"/>
      <c r="O173"/>
      <c r="P173"/>
      <c r="Q173"/>
      <c r="R173"/>
      <c r="S173"/>
    </row>
    <row r="174" spans="1:19">
      <c r="A174"/>
      <c r="B174"/>
      <c r="C174"/>
      <c r="D174"/>
      <c r="E174"/>
      <c r="F174"/>
      <c r="G174"/>
      <c r="H174"/>
      <c r="I174"/>
      <c r="J174"/>
      <c r="K174"/>
      <c r="L174"/>
      <c r="M174"/>
      <c r="N174"/>
      <c r="O174"/>
      <c r="P174"/>
      <c r="Q174"/>
      <c r="R174"/>
      <c r="S174"/>
    </row>
    <row r="175" spans="1:19">
      <c r="A175"/>
      <c r="B175"/>
      <c r="C175"/>
      <c r="D175"/>
      <c r="E175"/>
      <c r="F175"/>
      <c r="G175"/>
      <c r="H175"/>
      <c r="I175"/>
      <c r="J175"/>
      <c r="K175"/>
      <c r="L175"/>
      <c r="M175"/>
      <c r="N175"/>
      <c r="O175"/>
      <c r="P175"/>
      <c r="Q175"/>
      <c r="R175"/>
      <c r="S175"/>
    </row>
    <row r="176" spans="1:19">
      <c r="A176"/>
      <c r="B176"/>
      <c r="C176"/>
      <c r="D176"/>
      <c r="E176"/>
      <c r="F176"/>
      <c r="G176"/>
      <c r="H176"/>
      <c r="I176"/>
      <c r="J176"/>
      <c r="K176"/>
      <c r="L176"/>
      <c r="M176"/>
      <c r="N176"/>
      <c r="O176"/>
      <c r="P176"/>
      <c r="Q176"/>
      <c r="R176"/>
      <c r="S176"/>
    </row>
    <row r="177" spans="1:19">
      <c r="A177"/>
      <c r="B177"/>
      <c r="C177"/>
      <c r="D177"/>
      <c r="E177"/>
      <c r="F177"/>
      <c r="G177"/>
      <c r="H177"/>
      <c r="I177"/>
      <c r="J177"/>
      <c r="K177"/>
      <c r="L177"/>
      <c r="M177"/>
      <c r="N177"/>
      <c r="O177"/>
      <c r="P177"/>
      <c r="Q177"/>
      <c r="R177"/>
      <c r="S177"/>
    </row>
    <row r="178" spans="1:19">
      <c r="A178"/>
      <c r="B178"/>
      <c r="C178"/>
      <c r="D178"/>
      <c r="E178"/>
      <c r="F178"/>
      <c r="G178"/>
      <c r="H178"/>
      <c r="I178"/>
      <c r="J178"/>
      <c r="K178"/>
      <c r="L178"/>
      <c r="M178"/>
      <c r="N178"/>
      <c r="O178"/>
      <c r="P178"/>
      <c r="Q178"/>
      <c r="R178"/>
      <c r="S178"/>
    </row>
    <row r="179" spans="1:19">
      <c r="A179"/>
      <c r="B179"/>
      <c r="C179"/>
      <c r="D179"/>
      <c r="E179"/>
      <c r="F179"/>
      <c r="G179"/>
      <c r="H179"/>
      <c r="I179"/>
      <c r="J179"/>
      <c r="K179"/>
      <c r="L179"/>
      <c r="M179"/>
      <c r="N179"/>
      <c r="O179"/>
      <c r="P179"/>
      <c r="Q179"/>
      <c r="R179"/>
      <c r="S179"/>
    </row>
    <row r="180" spans="1:19">
      <c r="A180"/>
      <c r="B180"/>
      <c r="C180"/>
      <c r="D180"/>
      <c r="E180"/>
      <c r="F180"/>
      <c r="G180"/>
      <c r="H180"/>
      <c r="I180"/>
      <c r="J180"/>
      <c r="K180"/>
      <c r="L180"/>
      <c r="M180"/>
      <c r="N180"/>
      <c r="O180"/>
      <c r="P180"/>
      <c r="Q180"/>
      <c r="R180"/>
      <c r="S180"/>
    </row>
    <row r="181" spans="1:19">
      <c r="A181"/>
      <c r="B181"/>
      <c r="C181"/>
      <c r="D181"/>
      <c r="E181"/>
      <c r="F181"/>
      <c r="G181"/>
      <c r="H181"/>
      <c r="I181"/>
      <c r="J181"/>
      <c r="K181"/>
      <c r="L181"/>
      <c r="M181"/>
      <c r="N181"/>
      <c r="O181"/>
      <c r="P181"/>
      <c r="Q181"/>
      <c r="R181"/>
      <c r="S181"/>
    </row>
    <row r="182" spans="1:19">
      <c r="A182"/>
      <c r="B182"/>
      <c r="C182"/>
      <c r="D182"/>
      <c r="E182"/>
      <c r="F182"/>
      <c r="G182"/>
      <c r="H182"/>
      <c r="I182"/>
      <c r="J182"/>
      <c r="K182"/>
      <c r="L182"/>
      <c r="M182"/>
      <c r="N182"/>
      <c r="O182"/>
      <c r="P182"/>
      <c r="Q182"/>
      <c r="R182"/>
      <c r="S182"/>
    </row>
    <row r="183" spans="1:19">
      <c r="A183"/>
      <c r="B183"/>
      <c r="C183"/>
      <c r="D183"/>
      <c r="E183"/>
      <c r="F183"/>
      <c r="G183"/>
      <c r="H183"/>
      <c r="I183"/>
      <c r="J183"/>
      <c r="K183"/>
      <c r="L183"/>
      <c r="M183"/>
      <c r="N183"/>
      <c r="O183"/>
      <c r="P183"/>
      <c r="Q183"/>
      <c r="R183"/>
      <c r="S183"/>
    </row>
    <row r="184" spans="1:19">
      <c r="A184"/>
      <c r="B184"/>
      <c r="C184"/>
      <c r="D184"/>
      <c r="E184"/>
      <c r="F184"/>
      <c r="G184"/>
      <c r="H184"/>
      <c r="I184"/>
      <c r="J184"/>
      <c r="K184"/>
      <c r="L184"/>
      <c r="M184"/>
      <c r="N184"/>
      <c r="O184"/>
      <c r="P184"/>
      <c r="Q184"/>
      <c r="R184"/>
      <c r="S184"/>
    </row>
    <row r="185" spans="1:19">
      <c r="A185"/>
      <c r="B185"/>
      <c r="C185"/>
      <c r="D185"/>
      <c r="E185"/>
      <c r="F185"/>
      <c r="G185"/>
      <c r="H185"/>
      <c r="I185"/>
      <c r="J185"/>
      <c r="K185"/>
      <c r="L185"/>
      <c r="M185"/>
      <c r="N185"/>
      <c r="O185"/>
      <c r="P185"/>
      <c r="Q185"/>
      <c r="R185"/>
      <c r="S185"/>
    </row>
    <row r="186" spans="1:19">
      <c r="A186"/>
      <c r="B186"/>
      <c r="C186"/>
      <c r="D186"/>
      <c r="E186"/>
      <c r="F186"/>
      <c r="G186"/>
      <c r="H186"/>
      <c r="I186"/>
      <c r="J186"/>
      <c r="K186"/>
      <c r="L186"/>
      <c r="M186"/>
      <c r="N186"/>
      <c r="O186"/>
      <c r="P186"/>
      <c r="Q186"/>
      <c r="R186"/>
      <c r="S186"/>
    </row>
    <row r="187" spans="1:19">
      <c r="A187"/>
      <c r="B187"/>
      <c r="C187"/>
      <c r="D187"/>
      <c r="E187"/>
      <c r="F187"/>
      <c r="G187"/>
      <c r="H187"/>
      <c r="I187"/>
      <c r="J187"/>
      <c r="K187"/>
      <c r="L187"/>
      <c r="M187"/>
      <c r="N187"/>
      <c r="O187"/>
      <c r="P187"/>
      <c r="Q187"/>
      <c r="R187"/>
      <c r="S187"/>
    </row>
    <row r="188" spans="1:19">
      <c r="A188"/>
      <c r="B188"/>
      <c r="C188"/>
      <c r="D188"/>
      <c r="E188"/>
      <c r="F188"/>
      <c r="G188"/>
      <c r="H188"/>
      <c r="I188"/>
      <c r="J188"/>
      <c r="K188"/>
      <c r="L188"/>
      <c r="M188"/>
      <c r="N188"/>
      <c r="O188"/>
      <c r="P188"/>
      <c r="Q188"/>
      <c r="R188"/>
      <c r="S188"/>
    </row>
    <row r="189" spans="1:19">
      <c r="A189"/>
      <c r="B189"/>
      <c r="C189"/>
      <c r="D189"/>
      <c r="E189"/>
      <c r="F189"/>
      <c r="G189"/>
      <c r="H189"/>
      <c r="I189"/>
      <c r="J189"/>
      <c r="K189"/>
      <c r="L189"/>
      <c r="M189"/>
      <c r="N189"/>
      <c r="O189"/>
      <c r="P189"/>
      <c r="Q189"/>
      <c r="R189"/>
      <c r="S189"/>
    </row>
    <row r="190" spans="1:19">
      <c r="A190"/>
      <c r="B190"/>
      <c r="C190"/>
      <c r="D190"/>
      <c r="E190"/>
      <c r="F190"/>
      <c r="G190"/>
      <c r="H190"/>
      <c r="I190"/>
      <c r="J190"/>
      <c r="K190"/>
      <c r="L190"/>
      <c r="M190"/>
      <c r="N190"/>
      <c r="O190"/>
      <c r="P190"/>
      <c r="Q190"/>
      <c r="R190"/>
      <c r="S190"/>
    </row>
    <row r="191" spans="1:19">
      <c r="A191"/>
      <c r="B191"/>
      <c r="C191"/>
      <c r="D191"/>
      <c r="E191"/>
      <c r="F191"/>
      <c r="G191"/>
      <c r="H191"/>
      <c r="I191"/>
      <c r="J191"/>
      <c r="K191"/>
      <c r="L191"/>
      <c r="M191"/>
      <c r="N191"/>
      <c r="O191"/>
      <c r="P191"/>
      <c r="Q191"/>
      <c r="R191"/>
      <c r="S191"/>
    </row>
    <row r="192" spans="1:19">
      <c r="A192"/>
      <c r="B192"/>
      <c r="C192"/>
      <c r="D192"/>
      <c r="E192"/>
      <c r="F192"/>
      <c r="G192"/>
      <c r="H192"/>
      <c r="I192"/>
      <c r="J192"/>
      <c r="K192"/>
      <c r="L192"/>
      <c r="M192"/>
      <c r="N192"/>
      <c r="O192"/>
      <c r="P192"/>
      <c r="Q192"/>
      <c r="R192"/>
      <c r="S192"/>
    </row>
    <row r="193" spans="1:19">
      <c r="A193"/>
      <c r="B193"/>
      <c r="C193"/>
      <c r="D193"/>
      <c r="E193"/>
      <c r="F193"/>
      <c r="G193"/>
      <c r="H193"/>
      <c r="I193"/>
      <c r="J193"/>
      <c r="K193"/>
      <c r="L193"/>
      <c r="M193"/>
      <c r="N193"/>
      <c r="O193"/>
      <c r="P193"/>
      <c r="Q193"/>
      <c r="R193"/>
      <c r="S193"/>
    </row>
    <row r="194" spans="1:19">
      <c r="A194"/>
      <c r="B194"/>
      <c r="C194"/>
      <c r="D194"/>
      <c r="E194"/>
      <c r="F194"/>
      <c r="G194"/>
      <c r="H194"/>
      <c r="I194"/>
      <c r="J194"/>
      <c r="K194"/>
      <c r="L194"/>
      <c r="M194"/>
      <c r="N194"/>
      <c r="O194"/>
      <c r="P194"/>
      <c r="Q194"/>
      <c r="R194"/>
      <c r="S194"/>
    </row>
    <row r="195" spans="1:19">
      <c r="A195"/>
      <c r="B195"/>
      <c r="C195"/>
      <c r="D195"/>
      <c r="E195"/>
      <c r="F195"/>
      <c r="G195"/>
      <c r="H195"/>
      <c r="I195"/>
      <c r="J195"/>
      <c r="K195"/>
      <c r="L195"/>
      <c r="M195"/>
      <c r="N195"/>
      <c r="O195"/>
      <c r="P195"/>
      <c r="Q195"/>
      <c r="R195"/>
      <c r="S195"/>
    </row>
    <row r="196" spans="1:19">
      <c r="A196"/>
      <c r="B196"/>
      <c r="C196"/>
      <c r="D196"/>
      <c r="E196"/>
      <c r="F196"/>
      <c r="G196"/>
      <c r="H196"/>
      <c r="I196"/>
      <c r="J196"/>
      <c r="K196"/>
      <c r="L196"/>
      <c r="M196"/>
      <c r="N196"/>
      <c r="O196"/>
      <c r="P196"/>
      <c r="Q196"/>
      <c r="R196"/>
      <c r="S196"/>
    </row>
    <row r="197" spans="1:19">
      <c r="A197"/>
      <c r="B197"/>
      <c r="C197"/>
      <c r="D197"/>
      <c r="E197"/>
      <c r="F197"/>
      <c r="G197"/>
      <c r="H197"/>
      <c r="I197"/>
      <c r="J197"/>
      <c r="K197"/>
      <c r="L197"/>
      <c r="M197"/>
      <c r="N197"/>
      <c r="O197"/>
      <c r="P197"/>
      <c r="Q197"/>
      <c r="R197"/>
      <c r="S197"/>
    </row>
    <row r="198" spans="1:19">
      <c r="A198"/>
      <c r="B198"/>
      <c r="C198"/>
      <c r="D198"/>
      <c r="E198"/>
      <c r="F198"/>
      <c r="G198"/>
      <c r="H198"/>
      <c r="I198"/>
      <c r="J198"/>
      <c r="K198"/>
      <c r="L198"/>
      <c r="M198"/>
      <c r="N198"/>
      <c r="O198"/>
      <c r="P198"/>
      <c r="Q198"/>
      <c r="R198"/>
      <c r="S198"/>
    </row>
    <row r="199" spans="1:19">
      <c r="A199"/>
      <c r="B199"/>
      <c r="C199"/>
      <c r="D199"/>
      <c r="E199"/>
      <c r="F199"/>
      <c r="G199"/>
      <c r="H199"/>
      <c r="I199"/>
      <c r="J199"/>
      <c r="K199"/>
      <c r="L199"/>
      <c r="M199"/>
      <c r="N199"/>
      <c r="O199"/>
      <c r="P199"/>
      <c r="Q199"/>
      <c r="R199"/>
      <c r="S199"/>
    </row>
    <row r="200" spans="1:19">
      <c r="A200"/>
      <c r="B200"/>
      <c r="C200"/>
      <c r="D200"/>
      <c r="E200"/>
      <c r="F200"/>
      <c r="G200"/>
      <c r="H200"/>
      <c r="I200"/>
      <c r="J200"/>
      <c r="K200"/>
      <c r="L200"/>
      <c r="M200"/>
      <c r="N200"/>
      <c r="O200"/>
      <c r="P200"/>
      <c r="Q200"/>
      <c r="R200"/>
      <c r="S200"/>
    </row>
    <row r="201" spans="1:19">
      <c r="A201"/>
      <c r="B201"/>
      <c r="C201"/>
      <c r="D201"/>
      <c r="E201"/>
      <c r="F201"/>
      <c r="G201"/>
      <c r="H201"/>
      <c r="I201"/>
      <c r="J201"/>
      <c r="K201"/>
      <c r="L201"/>
      <c r="M201"/>
      <c r="N201"/>
      <c r="O201"/>
      <c r="P201"/>
      <c r="Q201"/>
      <c r="R201"/>
      <c r="S201"/>
    </row>
    <row r="202" spans="1:19">
      <c r="A202"/>
      <c r="B202"/>
      <c r="C202"/>
      <c r="D202"/>
      <c r="E202"/>
      <c r="F202"/>
      <c r="G202"/>
      <c r="H202"/>
      <c r="I202"/>
      <c r="J202"/>
      <c r="K202"/>
      <c r="L202"/>
      <c r="M202"/>
      <c r="N202"/>
      <c r="O202"/>
      <c r="P202"/>
      <c r="Q202"/>
      <c r="R202"/>
      <c r="S202"/>
    </row>
    <row r="203" spans="1:19">
      <c r="A203"/>
      <c r="B203"/>
      <c r="C203"/>
      <c r="D203"/>
      <c r="E203"/>
      <c r="F203"/>
      <c r="G203"/>
      <c r="H203"/>
      <c r="I203"/>
      <c r="J203"/>
      <c r="K203"/>
      <c r="L203"/>
      <c r="M203"/>
      <c r="N203"/>
      <c r="O203"/>
      <c r="P203"/>
      <c r="Q203"/>
      <c r="R203"/>
      <c r="S203"/>
    </row>
    <row r="204" spans="1:19">
      <c r="A204"/>
      <c r="B204"/>
      <c r="C204"/>
      <c r="D204"/>
      <c r="E204"/>
      <c r="F204"/>
      <c r="G204"/>
      <c r="H204"/>
      <c r="I204"/>
      <c r="J204"/>
      <c r="K204"/>
      <c r="L204"/>
      <c r="M204"/>
      <c r="N204"/>
      <c r="O204"/>
      <c r="P204"/>
      <c r="Q204"/>
      <c r="R204"/>
      <c r="S204"/>
    </row>
    <row r="205" spans="1:19">
      <c r="A205"/>
      <c r="B205"/>
      <c r="C205"/>
      <c r="D205"/>
      <c r="E205"/>
      <c r="F205"/>
      <c r="G205"/>
      <c r="H205"/>
      <c r="I205"/>
      <c r="J205"/>
      <c r="K205"/>
      <c r="L205"/>
      <c r="M205"/>
      <c r="N205"/>
      <c r="O205"/>
      <c r="P205"/>
      <c r="Q205"/>
      <c r="R205"/>
      <c r="S205"/>
    </row>
    <row r="206" spans="1:19">
      <c r="A206"/>
      <c r="B206"/>
      <c r="C206"/>
      <c r="D206"/>
      <c r="E206"/>
      <c r="F206"/>
      <c r="G206"/>
      <c r="H206"/>
      <c r="I206"/>
      <c r="J206"/>
      <c r="K206"/>
      <c r="L206"/>
      <c r="M206"/>
      <c r="N206"/>
      <c r="O206"/>
      <c r="P206"/>
      <c r="Q206"/>
      <c r="R206"/>
      <c r="S206"/>
    </row>
    <row r="207" spans="1:19">
      <c r="A207"/>
      <c r="B207"/>
      <c r="C207"/>
      <c r="D207"/>
      <c r="E207"/>
      <c r="F207"/>
      <c r="G207"/>
      <c r="H207"/>
      <c r="I207"/>
      <c r="J207"/>
      <c r="K207"/>
      <c r="L207"/>
      <c r="M207"/>
      <c r="N207"/>
      <c r="O207"/>
      <c r="P207"/>
      <c r="Q207"/>
      <c r="R207"/>
      <c r="S207"/>
    </row>
    <row r="208" spans="1:19">
      <c r="A208"/>
      <c r="B208"/>
      <c r="C208"/>
      <c r="D208"/>
      <c r="E208"/>
      <c r="F208"/>
      <c r="G208"/>
      <c r="H208"/>
      <c r="I208"/>
      <c r="J208"/>
      <c r="K208"/>
      <c r="L208"/>
      <c r="M208"/>
      <c r="N208"/>
      <c r="O208"/>
      <c r="P208"/>
      <c r="Q208"/>
      <c r="R208"/>
      <c r="S208"/>
    </row>
    <row r="209" spans="1:19">
      <c r="A209"/>
      <c r="B209"/>
      <c r="C209"/>
      <c r="D209"/>
      <c r="E209"/>
      <c r="F209"/>
      <c r="G209"/>
      <c r="H209"/>
      <c r="I209"/>
      <c r="J209"/>
      <c r="K209"/>
      <c r="L209"/>
      <c r="M209"/>
      <c r="N209"/>
      <c r="O209"/>
      <c r="P209"/>
      <c r="Q209"/>
      <c r="R209"/>
      <c r="S209"/>
    </row>
    <row r="210" spans="1:19">
      <c r="A210"/>
      <c r="B210"/>
      <c r="C210"/>
      <c r="D210"/>
      <c r="E210"/>
      <c r="F210"/>
      <c r="G210"/>
      <c r="H210"/>
      <c r="I210"/>
      <c r="J210"/>
      <c r="K210"/>
      <c r="L210"/>
      <c r="M210"/>
      <c r="N210"/>
      <c r="O210"/>
      <c r="P210"/>
      <c r="Q210"/>
      <c r="R210"/>
      <c r="S210"/>
    </row>
    <row r="211" spans="1:19">
      <c r="A211"/>
      <c r="B211"/>
      <c r="C211"/>
      <c r="D211"/>
      <c r="E211"/>
      <c r="F211"/>
      <c r="G211"/>
      <c r="H211"/>
      <c r="I211"/>
      <c r="J211"/>
      <c r="K211"/>
      <c r="L211"/>
      <c r="M211"/>
      <c r="N211"/>
      <c r="O211"/>
      <c r="P211"/>
      <c r="Q211"/>
      <c r="R211"/>
      <c r="S211"/>
    </row>
    <row r="212" spans="1:19">
      <c r="A212"/>
      <c r="B212"/>
      <c r="C212"/>
      <c r="D212"/>
      <c r="E212"/>
      <c r="F212"/>
      <c r="G212"/>
      <c r="H212"/>
      <c r="I212"/>
      <c r="J212"/>
      <c r="K212"/>
      <c r="L212"/>
      <c r="M212"/>
      <c r="N212"/>
      <c r="O212"/>
      <c r="P212"/>
      <c r="Q212"/>
      <c r="R212"/>
      <c r="S212"/>
    </row>
    <row r="213" spans="1:19">
      <c r="A213"/>
      <c r="B213"/>
      <c r="C213"/>
      <c r="D213"/>
      <c r="E213"/>
      <c r="F213"/>
      <c r="G213"/>
      <c r="H213"/>
      <c r="I213"/>
      <c r="J213"/>
      <c r="K213"/>
      <c r="L213"/>
      <c r="M213"/>
      <c r="N213"/>
      <c r="O213"/>
      <c r="P213"/>
      <c r="Q213"/>
      <c r="R213"/>
      <c r="S213"/>
    </row>
    <row r="214" spans="1:19">
      <c r="A214"/>
      <c r="B214"/>
      <c r="C214"/>
      <c r="D214"/>
      <c r="E214"/>
      <c r="F214"/>
      <c r="G214"/>
      <c r="H214"/>
      <c r="I214"/>
      <c r="J214"/>
      <c r="K214"/>
      <c r="L214"/>
      <c r="M214"/>
      <c r="N214"/>
      <c r="O214"/>
      <c r="P214"/>
      <c r="Q214"/>
      <c r="R214"/>
      <c r="S214"/>
    </row>
    <row r="215" spans="1:19">
      <c r="A215"/>
      <c r="B215"/>
      <c r="C215"/>
      <c r="D215"/>
      <c r="E215"/>
      <c r="F215"/>
      <c r="G215"/>
      <c r="H215"/>
      <c r="I215"/>
      <c r="J215"/>
      <c r="K215"/>
      <c r="L215"/>
      <c r="M215"/>
      <c r="N215"/>
      <c r="O215"/>
      <c r="P215"/>
      <c r="Q215"/>
      <c r="R215"/>
      <c r="S215"/>
    </row>
    <row r="216" spans="1:19">
      <c r="A216"/>
      <c r="B216"/>
      <c r="C216"/>
      <c r="D216"/>
      <c r="E216"/>
      <c r="F216"/>
      <c r="G216"/>
      <c r="H216"/>
      <c r="I216"/>
      <c r="J216"/>
      <c r="K216"/>
      <c r="L216"/>
      <c r="M216"/>
      <c r="N216"/>
      <c r="O216"/>
      <c r="P216"/>
      <c r="Q216"/>
      <c r="R216"/>
      <c r="S216"/>
    </row>
    <row r="217" spans="1:19">
      <c r="A217"/>
      <c r="B217"/>
      <c r="C217"/>
      <c r="D217"/>
      <c r="E217"/>
      <c r="F217"/>
      <c r="G217"/>
      <c r="H217"/>
      <c r="I217"/>
      <c r="J217"/>
      <c r="K217"/>
      <c r="L217"/>
      <c r="M217"/>
      <c r="N217"/>
      <c r="O217"/>
      <c r="P217"/>
      <c r="Q217"/>
      <c r="R217"/>
      <c r="S217"/>
    </row>
    <row r="218" spans="1:19">
      <c r="A218"/>
      <c r="B218"/>
      <c r="C218"/>
      <c r="D218"/>
      <c r="E218"/>
      <c r="F218"/>
      <c r="G218"/>
      <c r="H218"/>
      <c r="I218"/>
      <c r="J218"/>
      <c r="K218"/>
      <c r="L218"/>
      <c r="M218"/>
      <c r="N218"/>
      <c r="O218"/>
      <c r="P218"/>
      <c r="Q218"/>
      <c r="R218"/>
      <c r="S218"/>
    </row>
    <row r="219" spans="1:19">
      <c r="A219"/>
      <c r="B219"/>
      <c r="C219"/>
      <c r="D219"/>
      <c r="E219"/>
      <c r="F219"/>
      <c r="G219"/>
      <c r="H219"/>
      <c r="I219"/>
      <c r="J219"/>
      <c r="K219"/>
      <c r="L219"/>
      <c r="M219"/>
      <c r="N219"/>
      <c r="O219"/>
      <c r="P219"/>
      <c r="Q219"/>
      <c r="R219"/>
      <c r="S219"/>
    </row>
    <row r="220" spans="1:19">
      <c r="A220"/>
      <c r="B220"/>
      <c r="C220"/>
      <c r="D220"/>
      <c r="E220"/>
      <c r="F220"/>
      <c r="G220"/>
      <c r="H220"/>
      <c r="I220"/>
      <c r="J220"/>
      <c r="K220"/>
      <c r="L220"/>
      <c r="M220"/>
      <c r="N220"/>
      <c r="O220"/>
      <c r="P220"/>
      <c r="Q220"/>
      <c r="R220"/>
      <c r="S220"/>
    </row>
    <row r="221" spans="1:19">
      <c r="A221"/>
      <c r="B221"/>
      <c r="C221"/>
      <c r="D221"/>
      <c r="E221"/>
      <c r="F221"/>
      <c r="G221"/>
      <c r="H221"/>
      <c r="I221"/>
      <c r="J221"/>
      <c r="K221"/>
      <c r="L221"/>
      <c r="M221"/>
      <c r="N221"/>
      <c r="O221"/>
      <c r="P221"/>
      <c r="Q221"/>
      <c r="R221"/>
      <c r="S221"/>
    </row>
    <row r="222" spans="1:19">
      <c r="A222"/>
      <c r="B222"/>
      <c r="C222"/>
      <c r="D222"/>
      <c r="E222"/>
      <c r="F222"/>
      <c r="G222"/>
      <c r="H222"/>
      <c r="I222"/>
      <c r="J222"/>
      <c r="K222"/>
      <c r="L222"/>
      <c r="M222"/>
      <c r="N222"/>
      <c r="O222"/>
      <c r="P222"/>
      <c r="Q222"/>
      <c r="R222"/>
      <c r="S222"/>
    </row>
    <row r="223" spans="1:19">
      <c r="A223"/>
      <c r="B223"/>
      <c r="C223"/>
      <c r="D223"/>
      <c r="E223"/>
      <c r="F223"/>
      <c r="G223"/>
      <c r="H223"/>
      <c r="I223"/>
      <c r="J223"/>
      <c r="K223"/>
      <c r="L223"/>
      <c r="M223"/>
      <c r="N223"/>
      <c r="O223"/>
      <c r="P223"/>
      <c r="Q223"/>
      <c r="R223"/>
      <c r="S223"/>
    </row>
    <row r="224" spans="1:19">
      <c r="A224"/>
      <c r="B224"/>
      <c r="C224"/>
      <c r="D224"/>
      <c r="E224"/>
      <c r="F224"/>
      <c r="G224"/>
      <c r="H224"/>
      <c r="I224"/>
      <c r="J224"/>
      <c r="K224"/>
      <c r="L224"/>
      <c r="M224"/>
      <c r="N224"/>
      <c r="O224"/>
      <c r="P224"/>
      <c r="Q224"/>
      <c r="R224"/>
      <c r="S224"/>
    </row>
    <row r="225" spans="1:19">
      <c r="A225"/>
      <c r="B225"/>
      <c r="C225"/>
      <c r="D225"/>
      <c r="E225"/>
      <c r="F225"/>
      <c r="G225"/>
      <c r="H225"/>
      <c r="I225"/>
      <c r="J225"/>
      <c r="K225"/>
      <c r="L225"/>
      <c r="M225"/>
      <c r="N225"/>
      <c r="O225"/>
      <c r="P225"/>
      <c r="Q225"/>
      <c r="R225"/>
      <c r="S225"/>
    </row>
    <row r="226" spans="1:19">
      <c r="A226"/>
      <c r="B226"/>
      <c r="C226"/>
      <c r="D226"/>
      <c r="E226"/>
      <c r="F226"/>
      <c r="G226"/>
      <c r="H226"/>
      <c r="I226"/>
      <c r="J226"/>
      <c r="K226"/>
      <c r="L226"/>
      <c r="M226"/>
      <c r="N226"/>
      <c r="O226"/>
      <c r="P226"/>
      <c r="Q226"/>
      <c r="R226"/>
      <c r="S226"/>
    </row>
    <row r="227" spans="1:19">
      <c r="A227"/>
      <c r="B227"/>
      <c r="C227"/>
      <c r="D227"/>
      <c r="E227"/>
      <c r="F227"/>
      <c r="G227"/>
      <c r="H227"/>
      <c r="I227"/>
      <c r="J227"/>
      <c r="K227"/>
      <c r="L227"/>
      <c r="M227"/>
      <c r="N227"/>
      <c r="O227"/>
      <c r="P227"/>
      <c r="Q227"/>
      <c r="R227"/>
      <c r="S227"/>
    </row>
    <row r="228" spans="1:19">
      <c r="A228"/>
      <c r="B228"/>
      <c r="C228"/>
      <c r="D228"/>
      <c r="E228"/>
      <c r="F228"/>
      <c r="G228"/>
      <c r="H228"/>
      <c r="I228"/>
      <c r="J228"/>
      <c r="K228"/>
      <c r="L228"/>
      <c r="M228"/>
      <c r="N228"/>
      <c r="O228"/>
      <c r="P228"/>
      <c r="Q228"/>
      <c r="R228"/>
      <c r="S228"/>
    </row>
    <row r="229" spans="1:19">
      <c r="A229"/>
      <c r="B229"/>
      <c r="C229"/>
      <c r="D229"/>
      <c r="E229"/>
      <c r="F229"/>
      <c r="G229"/>
      <c r="H229"/>
      <c r="I229"/>
      <c r="J229"/>
      <c r="K229"/>
      <c r="L229"/>
      <c r="M229"/>
      <c r="N229"/>
      <c r="O229"/>
      <c r="P229"/>
      <c r="Q229"/>
      <c r="R229"/>
      <c r="S229"/>
    </row>
    <row r="230" spans="1:19">
      <c r="A230"/>
      <c r="B230"/>
      <c r="C230"/>
      <c r="D230"/>
      <c r="E230"/>
      <c r="F230"/>
      <c r="G230"/>
      <c r="H230"/>
      <c r="I230"/>
      <c r="J230"/>
      <c r="K230"/>
      <c r="L230"/>
      <c r="M230"/>
      <c r="N230"/>
      <c r="O230"/>
      <c r="P230"/>
      <c r="Q230"/>
      <c r="R230"/>
      <c r="S230"/>
    </row>
    <row r="231" spans="1:19">
      <c r="A231"/>
      <c r="B231"/>
      <c r="C231"/>
      <c r="D231"/>
      <c r="E231"/>
      <c r="F231"/>
      <c r="G231"/>
      <c r="H231"/>
      <c r="I231"/>
      <c r="J231"/>
      <c r="K231"/>
      <c r="L231"/>
      <c r="M231"/>
      <c r="N231"/>
      <c r="O231"/>
      <c r="P231"/>
      <c r="Q231"/>
      <c r="R231"/>
      <c r="S231"/>
    </row>
    <row r="232" spans="1:19">
      <c r="A232"/>
      <c r="B232"/>
      <c r="C232"/>
      <c r="D232"/>
      <c r="E232"/>
      <c r="F232"/>
      <c r="G232"/>
      <c r="H232"/>
      <c r="I232"/>
      <c r="J232"/>
      <c r="K232"/>
      <c r="L232"/>
      <c r="M232"/>
      <c r="N232"/>
      <c r="O232"/>
      <c r="P232"/>
      <c r="Q232"/>
      <c r="R232"/>
      <c r="S232"/>
    </row>
    <row r="233" spans="1:19">
      <c r="A233"/>
      <c r="B233"/>
      <c r="C233"/>
      <c r="D233"/>
      <c r="E233"/>
      <c r="F233"/>
      <c r="G233"/>
      <c r="H233"/>
      <c r="I233"/>
      <c r="J233"/>
      <c r="K233"/>
      <c r="L233"/>
      <c r="M233"/>
      <c r="N233"/>
      <c r="O233"/>
      <c r="P233"/>
      <c r="Q233"/>
      <c r="R233"/>
      <c r="S233"/>
    </row>
    <row r="234" spans="1:19">
      <c r="A234"/>
      <c r="B234"/>
      <c r="C234"/>
      <c r="D234"/>
      <c r="E234"/>
      <c r="F234"/>
      <c r="G234"/>
      <c r="H234"/>
      <c r="I234"/>
      <c r="J234"/>
      <c r="K234"/>
      <c r="L234"/>
      <c r="M234"/>
      <c r="N234"/>
      <c r="O234"/>
      <c r="P234"/>
      <c r="Q234"/>
      <c r="R234"/>
      <c r="S234"/>
    </row>
    <row r="235" spans="1:19">
      <c r="A235"/>
      <c r="B235"/>
      <c r="C235"/>
      <c r="D235"/>
      <c r="E235"/>
      <c r="F235"/>
      <c r="G235"/>
      <c r="H235"/>
      <c r="I235"/>
      <c r="J235"/>
      <c r="K235"/>
      <c r="L235"/>
      <c r="M235"/>
      <c r="N235"/>
      <c r="O235"/>
      <c r="P235"/>
      <c r="Q235"/>
      <c r="R235"/>
      <c r="S235"/>
    </row>
    <row r="236" spans="1:19">
      <c r="A236"/>
      <c r="B236"/>
      <c r="C236"/>
      <c r="D236"/>
      <c r="E236"/>
      <c r="F236"/>
      <c r="G236"/>
      <c r="H236"/>
      <c r="I236"/>
      <c r="J236"/>
      <c r="K236"/>
      <c r="L236"/>
      <c r="M236"/>
      <c r="N236"/>
      <c r="O236"/>
      <c r="P236"/>
      <c r="Q236"/>
      <c r="R236"/>
      <c r="S236"/>
    </row>
    <row r="237" spans="1:19">
      <c r="A237"/>
      <c r="B237"/>
      <c r="C237"/>
      <c r="D237"/>
      <c r="E237"/>
      <c r="F237"/>
      <c r="G237"/>
      <c r="H237"/>
      <c r="I237"/>
      <c r="J237"/>
      <c r="K237"/>
      <c r="L237"/>
      <c r="M237"/>
      <c r="N237"/>
      <c r="O237"/>
      <c r="P237"/>
      <c r="Q237"/>
      <c r="R237"/>
      <c r="S237"/>
    </row>
    <row r="238" spans="1:19">
      <c r="A238"/>
      <c r="B238"/>
      <c r="C238"/>
      <c r="D238"/>
      <c r="E238"/>
      <c r="F238"/>
      <c r="G238"/>
      <c r="H238"/>
      <c r="I238"/>
      <c r="J238"/>
      <c r="K238"/>
      <c r="L238"/>
      <c r="M238"/>
      <c r="N238"/>
      <c r="O238"/>
      <c r="P238"/>
      <c r="Q238"/>
      <c r="R238"/>
      <c r="S238"/>
    </row>
    <row r="239" spans="1:19">
      <c r="A239"/>
      <c r="B239"/>
      <c r="C239"/>
      <c r="D239"/>
      <c r="E239"/>
      <c r="F239"/>
      <c r="G239"/>
      <c r="H239"/>
      <c r="I239"/>
      <c r="J239"/>
      <c r="K239"/>
      <c r="L239"/>
      <c r="M239"/>
      <c r="N239"/>
      <c r="O239"/>
      <c r="P239"/>
      <c r="Q239"/>
      <c r="R239"/>
      <c r="S239"/>
    </row>
    <row r="240" spans="1:19">
      <c r="A240"/>
      <c r="B240"/>
      <c r="C240"/>
      <c r="D240"/>
      <c r="E240"/>
      <c r="F240"/>
      <c r="G240"/>
      <c r="H240"/>
      <c r="I240"/>
      <c r="J240"/>
      <c r="K240"/>
      <c r="L240"/>
      <c r="M240"/>
      <c r="N240"/>
      <c r="O240"/>
      <c r="P240"/>
      <c r="Q240"/>
      <c r="R240"/>
      <c r="S240"/>
    </row>
    <row r="241" spans="1:19">
      <c r="A241"/>
      <c r="B241"/>
      <c r="C241"/>
      <c r="D241"/>
      <c r="E241"/>
      <c r="F241"/>
      <c r="G241"/>
      <c r="H241"/>
      <c r="I241"/>
      <c r="J241"/>
      <c r="K241"/>
      <c r="L241"/>
      <c r="M241"/>
      <c r="N241"/>
      <c r="O241"/>
      <c r="P241"/>
      <c r="Q241"/>
      <c r="R241"/>
      <c r="S241"/>
    </row>
    <row r="242" spans="1:19">
      <c r="A242"/>
      <c r="B242"/>
      <c r="C242"/>
      <c r="D242"/>
      <c r="E242"/>
      <c r="F242"/>
      <c r="G242"/>
      <c r="H242"/>
      <c r="I242"/>
      <c r="J242"/>
      <c r="K242"/>
      <c r="L242"/>
      <c r="M242"/>
      <c r="N242"/>
      <c r="O242"/>
      <c r="P242"/>
      <c r="Q242"/>
      <c r="R242"/>
      <c r="S242"/>
    </row>
    <row r="243" spans="1:19">
      <c r="A243"/>
      <c r="B243"/>
      <c r="C243"/>
      <c r="D243"/>
      <c r="E243"/>
      <c r="F243"/>
      <c r="G243"/>
      <c r="H243"/>
      <c r="I243"/>
      <c r="J243"/>
      <c r="K243"/>
      <c r="L243"/>
      <c r="M243"/>
      <c r="N243"/>
      <c r="O243"/>
      <c r="P243"/>
      <c r="Q243"/>
      <c r="R243"/>
      <c r="S243"/>
    </row>
    <row r="244" spans="1:19">
      <c r="A244"/>
      <c r="B244"/>
      <c r="C244"/>
      <c r="D244"/>
      <c r="E244"/>
      <c r="F244"/>
      <c r="G244"/>
      <c r="H244"/>
      <c r="I244"/>
      <c r="J244"/>
      <c r="K244"/>
      <c r="L244"/>
      <c r="M244"/>
      <c r="N244"/>
      <c r="O244"/>
      <c r="P244"/>
      <c r="Q244"/>
      <c r="R244"/>
      <c r="S244"/>
    </row>
    <row r="245" spans="1:19">
      <c r="A245"/>
      <c r="B245"/>
      <c r="C245"/>
      <c r="D245"/>
      <c r="E245"/>
      <c r="F245"/>
      <c r="G245"/>
      <c r="H245"/>
      <c r="I245"/>
      <c r="J245"/>
      <c r="K245"/>
      <c r="L245"/>
      <c r="M245"/>
      <c r="N245"/>
      <c r="O245"/>
      <c r="P245"/>
      <c r="Q245"/>
      <c r="R245"/>
      <c r="S245"/>
    </row>
    <row r="246" spans="1:19">
      <c r="A246"/>
      <c r="B246"/>
      <c r="C246"/>
      <c r="D246"/>
      <c r="E246"/>
      <c r="F246"/>
      <c r="G246"/>
      <c r="H246"/>
      <c r="I246"/>
      <c r="J246"/>
      <c r="K246"/>
      <c r="L246"/>
      <c r="M246"/>
      <c r="N246"/>
      <c r="O246"/>
      <c r="P246"/>
      <c r="Q246"/>
      <c r="R246"/>
      <c r="S246"/>
    </row>
    <row r="247" spans="1:19">
      <c r="A247"/>
      <c r="B247"/>
      <c r="C247"/>
      <c r="D247"/>
      <c r="E247"/>
      <c r="F247"/>
      <c r="G247"/>
      <c r="H247"/>
      <c r="I247"/>
      <c r="J247"/>
      <c r="K247"/>
      <c r="L247"/>
      <c r="M247"/>
      <c r="N247"/>
      <c r="O247"/>
      <c r="P247"/>
      <c r="Q247"/>
      <c r="R247"/>
      <c r="S247"/>
    </row>
    <row r="248" spans="1:19">
      <c r="A248"/>
      <c r="B248"/>
      <c r="C248"/>
      <c r="D248"/>
      <c r="E248"/>
      <c r="F248"/>
      <c r="G248"/>
      <c r="H248"/>
      <c r="I248"/>
      <c r="J248"/>
      <c r="K248"/>
      <c r="L248"/>
      <c r="M248"/>
      <c r="N248"/>
      <c r="O248"/>
      <c r="P248"/>
      <c r="Q248"/>
      <c r="R248"/>
      <c r="S248"/>
    </row>
    <row r="249" spans="1:19">
      <c r="A249"/>
      <c r="B249"/>
      <c r="C249"/>
      <c r="D249"/>
      <c r="E249"/>
      <c r="F249"/>
      <c r="G249"/>
      <c r="H249"/>
      <c r="I249"/>
      <c r="J249"/>
      <c r="K249"/>
      <c r="L249"/>
      <c r="M249"/>
      <c r="N249"/>
      <c r="O249"/>
      <c r="P249"/>
      <c r="Q249"/>
      <c r="R249"/>
      <c r="S249"/>
    </row>
    <row r="250" spans="1:19">
      <c r="A250"/>
      <c r="B250"/>
      <c r="C250"/>
      <c r="D250"/>
      <c r="E250"/>
      <c r="F250"/>
      <c r="G250"/>
      <c r="H250"/>
      <c r="I250"/>
      <c r="J250"/>
      <c r="K250"/>
      <c r="L250"/>
      <c r="M250"/>
      <c r="N250"/>
      <c r="O250"/>
      <c r="P250"/>
      <c r="Q250"/>
      <c r="R250"/>
      <c r="S250"/>
    </row>
    <row r="251" spans="1:19">
      <c r="A251"/>
      <c r="B251"/>
      <c r="C251"/>
      <c r="D251"/>
      <c r="E251"/>
      <c r="F251"/>
      <c r="G251"/>
      <c r="H251"/>
      <c r="I251"/>
      <c r="J251"/>
      <c r="K251"/>
      <c r="L251"/>
      <c r="M251"/>
      <c r="N251"/>
      <c r="O251"/>
      <c r="P251"/>
      <c r="Q251"/>
      <c r="R251"/>
      <c r="S251"/>
    </row>
    <row r="252" spans="1:19">
      <c r="A252"/>
      <c r="B252"/>
      <c r="C252"/>
      <c r="D252"/>
      <c r="E252"/>
      <c r="F252"/>
      <c r="G252"/>
      <c r="H252"/>
      <c r="I252"/>
      <c r="J252"/>
      <c r="K252"/>
      <c r="L252"/>
      <c r="M252"/>
      <c r="N252"/>
      <c r="O252"/>
      <c r="P252"/>
      <c r="Q252"/>
      <c r="R252"/>
      <c r="S252"/>
    </row>
    <row r="253" spans="1:19">
      <c r="A253"/>
      <c r="B253"/>
      <c r="C253"/>
      <c r="D253"/>
      <c r="E253"/>
      <c r="F253"/>
      <c r="G253"/>
      <c r="H253"/>
      <c r="I253"/>
      <c r="J253"/>
      <c r="K253"/>
      <c r="L253"/>
      <c r="M253"/>
      <c r="N253"/>
      <c r="O253"/>
      <c r="P253"/>
      <c r="Q253"/>
      <c r="R253"/>
      <c r="S253"/>
    </row>
    <row r="254" spans="1:19">
      <c r="A254"/>
      <c r="B254"/>
      <c r="C254"/>
      <c r="D254"/>
      <c r="E254"/>
      <c r="F254"/>
      <c r="G254"/>
      <c r="H254"/>
      <c r="I254"/>
      <c r="J254"/>
      <c r="K254"/>
      <c r="L254"/>
      <c r="M254"/>
      <c r="N254"/>
      <c r="O254"/>
      <c r="P254"/>
      <c r="Q254"/>
      <c r="R254"/>
      <c r="S254"/>
    </row>
    <row r="255" spans="1:19">
      <c r="A255"/>
      <c r="B255"/>
      <c r="C255"/>
      <c r="D255"/>
      <c r="E255"/>
      <c r="F255"/>
      <c r="G255"/>
      <c r="H255"/>
      <c r="I255"/>
      <c r="J255"/>
      <c r="K255"/>
      <c r="L255"/>
      <c r="M255"/>
      <c r="N255"/>
      <c r="O255"/>
      <c r="P255"/>
      <c r="Q255"/>
      <c r="R255"/>
      <c r="S255"/>
    </row>
    <row r="256" spans="1:19">
      <c r="A256"/>
      <c r="B256"/>
      <c r="C256"/>
      <c r="D256"/>
      <c r="E256"/>
      <c r="F256"/>
      <c r="G256"/>
      <c r="H256"/>
      <c r="I256"/>
      <c r="J256"/>
      <c r="K256"/>
      <c r="L256"/>
      <c r="M256"/>
      <c r="N256"/>
      <c r="O256"/>
      <c r="P256"/>
      <c r="Q256"/>
      <c r="R256"/>
      <c r="S256"/>
    </row>
    <row r="257" spans="1:19">
      <c r="A257"/>
      <c r="B257"/>
      <c r="C257"/>
      <c r="D257"/>
      <c r="E257"/>
      <c r="F257"/>
      <c r="G257"/>
      <c r="H257"/>
      <c r="I257"/>
      <c r="J257"/>
      <c r="K257"/>
      <c r="L257"/>
      <c r="M257"/>
      <c r="N257"/>
      <c r="O257"/>
      <c r="P257"/>
      <c r="Q257"/>
      <c r="R257"/>
      <c r="S257"/>
    </row>
    <row r="258" spans="1:19">
      <c r="A258"/>
      <c r="B258"/>
      <c r="C258"/>
      <c r="D258"/>
      <c r="E258"/>
      <c r="F258"/>
      <c r="G258"/>
      <c r="H258"/>
      <c r="I258"/>
      <c r="J258"/>
      <c r="K258"/>
      <c r="L258"/>
      <c r="M258"/>
      <c r="N258"/>
      <c r="O258"/>
      <c r="P258"/>
      <c r="Q258"/>
      <c r="R258"/>
      <c r="S258"/>
    </row>
    <row r="259" spans="1:19">
      <c r="A259"/>
      <c r="B259"/>
      <c r="C259"/>
      <c r="D259"/>
      <c r="E259"/>
      <c r="F259"/>
      <c r="G259"/>
      <c r="H259"/>
      <c r="I259"/>
      <c r="J259"/>
      <c r="K259"/>
      <c r="L259"/>
      <c r="M259"/>
      <c r="N259"/>
      <c r="O259"/>
      <c r="P259"/>
      <c r="Q259"/>
      <c r="R259"/>
      <c r="S259"/>
    </row>
    <row r="260" spans="1:19">
      <c r="A260"/>
      <c r="B260"/>
      <c r="C260"/>
      <c r="D260"/>
      <c r="E260"/>
      <c r="F260"/>
      <c r="G260"/>
      <c r="H260"/>
      <c r="I260"/>
      <c r="J260"/>
      <c r="K260"/>
      <c r="L260"/>
      <c r="M260"/>
      <c r="N260"/>
      <c r="O260"/>
      <c r="P260"/>
      <c r="Q260"/>
      <c r="R260"/>
      <c r="S260"/>
    </row>
    <row r="261" spans="1:19">
      <c r="A261"/>
      <c r="B261"/>
      <c r="C261"/>
      <c r="D261"/>
      <c r="E261"/>
      <c r="F261"/>
      <c r="G261"/>
      <c r="H261"/>
      <c r="I261"/>
      <c r="J261"/>
      <c r="K261"/>
      <c r="L261"/>
      <c r="M261"/>
      <c r="N261"/>
      <c r="O261"/>
      <c r="P261"/>
      <c r="Q261"/>
      <c r="R261"/>
      <c r="S261"/>
    </row>
    <row r="262" spans="1:19">
      <c r="A262"/>
      <c r="B262"/>
      <c r="C262"/>
      <c r="D262"/>
      <c r="E262"/>
      <c r="F262"/>
      <c r="G262"/>
      <c r="H262"/>
      <c r="I262"/>
      <c r="J262"/>
      <c r="K262"/>
      <c r="L262"/>
      <c r="M262"/>
      <c r="N262"/>
      <c r="O262"/>
      <c r="P262"/>
      <c r="Q262"/>
      <c r="R262"/>
      <c r="S262"/>
    </row>
    <row r="263" spans="1:19">
      <c r="A263"/>
      <c r="B263"/>
      <c r="C263"/>
      <c r="D263"/>
      <c r="E263"/>
      <c r="F263"/>
      <c r="G263"/>
      <c r="H263"/>
      <c r="I263"/>
      <c r="J263"/>
      <c r="K263"/>
      <c r="L263"/>
      <c r="M263"/>
      <c r="N263"/>
      <c r="O263"/>
      <c r="P263"/>
      <c r="Q263"/>
      <c r="R263"/>
      <c r="S263"/>
    </row>
    <row r="264" spans="1:19">
      <c r="A264"/>
      <c r="B264"/>
      <c r="C264"/>
      <c r="D264"/>
      <c r="E264"/>
      <c r="F264"/>
      <c r="G264"/>
      <c r="H264"/>
      <c r="I264"/>
      <c r="J264"/>
      <c r="K264"/>
      <c r="L264"/>
      <c r="M264"/>
      <c r="N264"/>
      <c r="O264"/>
      <c r="P264"/>
      <c r="Q264"/>
      <c r="R264"/>
      <c r="S264"/>
    </row>
    <row r="265" spans="1:19">
      <c r="A265"/>
      <c r="B265"/>
      <c r="C265"/>
      <c r="D265"/>
      <c r="E265"/>
      <c r="F265"/>
      <c r="G265"/>
      <c r="H265"/>
      <c r="I265"/>
      <c r="J265"/>
      <c r="K265"/>
      <c r="L265"/>
      <c r="M265"/>
      <c r="N265"/>
      <c r="O265"/>
      <c r="P265"/>
      <c r="Q265"/>
      <c r="R265"/>
      <c r="S265"/>
    </row>
    <row r="266" spans="1:19">
      <c r="A266"/>
      <c r="B266"/>
      <c r="C266"/>
      <c r="D266"/>
      <c r="E266"/>
      <c r="F266"/>
      <c r="G266"/>
      <c r="H266"/>
      <c r="I266"/>
      <c r="J266"/>
      <c r="K266"/>
      <c r="L266"/>
      <c r="M266"/>
      <c r="N266"/>
      <c r="O266"/>
      <c r="P266"/>
      <c r="Q266"/>
      <c r="R266"/>
      <c r="S266"/>
    </row>
    <row r="267" spans="1:19">
      <c r="A267"/>
      <c r="B267"/>
      <c r="C267"/>
      <c r="D267"/>
      <c r="E267"/>
      <c r="F267"/>
      <c r="G267"/>
      <c r="H267"/>
      <c r="I267"/>
      <c r="J267"/>
      <c r="K267"/>
      <c r="L267"/>
      <c r="M267"/>
      <c r="N267"/>
      <c r="O267"/>
      <c r="P267"/>
      <c r="Q267"/>
      <c r="R267"/>
      <c r="S267"/>
    </row>
    <row r="268" spans="1:19">
      <c r="A268"/>
      <c r="B268"/>
      <c r="C268"/>
      <c r="D268"/>
      <c r="E268"/>
      <c r="F268"/>
      <c r="G268"/>
      <c r="H268"/>
      <c r="I268"/>
      <c r="J268"/>
      <c r="K268"/>
      <c r="L268"/>
      <c r="M268"/>
      <c r="N268"/>
      <c r="O268"/>
      <c r="P268"/>
      <c r="Q268"/>
      <c r="R268"/>
      <c r="S268"/>
    </row>
    <row r="269" spans="1:19">
      <c r="A269"/>
      <c r="B269"/>
      <c r="C269"/>
      <c r="D269"/>
      <c r="E269"/>
      <c r="F269"/>
      <c r="G269"/>
      <c r="H269"/>
      <c r="I269"/>
      <c r="J269"/>
      <c r="K269"/>
      <c r="L269"/>
      <c r="M269"/>
      <c r="N269"/>
      <c r="O269"/>
      <c r="P269"/>
      <c r="Q269"/>
      <c r="R269"/>
      <c r="S269"/>
    </row>
    <row r="270" spans="1:19">
      <c r="A270"/>
      <c r="B270"/>
      <c r="C270"/>
      <c r="D270"/>
      <c r="E270"/>
      <c r="F270"/>
      <c r="G270"/>
      <c r="H270"/>
      <c r="I270"/>
      <c r="J270"/>
      <c r="K270"/>
      <c r="L270"/>
      <c r="M270"/>
      <c r="N270"/>
      <c r="O270"/>
      <c r="P270"/>
      <c r="Q270"/>
      <c r="R270"/>
      <c r="S270"/>
    </row>
    <row r="271" spans="1:19">
      <c r="A271"/>
      <c r="B271"/>
      <c r="C271"/>
      <c r="D271"/>
      <c r="E271"/>
      <c r="F271"/>
      <c r="G271"/>
      <c r="H271"/>
      <c r="I271"/>
      <c r="J271"/>
      <c r="K271"/>
      <c r="L271"/>
      <c r="M271"/>
      <c r="N271"/>
      <c r="O271"/>
      <c r="P271"/>
      <c r="Q271"/>
      <c r="R271"/>
      <c r="S271"/>
    </row>
    <row r="272" spans="1:19">
      <c r="A272"/>
      <c r="B272"/>
      <c r="C272"/>
      <c r="D272"/>
      <c r="E272"/>
      <c r="F272"/>
      <c r="G272"/>
      <c r="H272"/>
      <c r="I272"/>
      <c r="J272"/>
      <c r="K272"/>
      <c r="L272"/>
      <c r="M272"/>
      <c r="N272"/>
      <c r="O272"/>
      <c r="P272"/>
      <c r="Q272"/>
      <c r="R272"/>
      <c r="S272"/>
    </row>
    <row r="273" spans="1:19">
      <c r="A273"/>
      <c r="B273"/>
      <c r="C273"/>
      <c r="D273"/>
      <c r="E273"/>
      <c r="F273"/>
      <c r="G273"/>
      <c r="H273"/>
      <c r="I273"/>
      <c r="J273"/>
      <c r="K273"/>
      <c r="L273"/>
      <c r="M273"/>
      <c r="N273"/>
      <c r="O273"/>
      <c r="P273"/>
      <c r="Q273"/>
      <c r="R273"/>
      <c r="S273"/>
    </row>
    <row r="274" spans="1:19">
      <c r="A274"/>
      <c r="B274"/>
      <c r="C274"/>
      <c r="D274"/>
      <c r="E274"/>
      <c r="F274"/>
      <c r="G274"/>
      <c r="H274"/>
      <c r="I274"/>
      <c r="J274"/>
      <c r="K274"/>
      <c r="L274"/>
      <c r="M274"/>
      <c r="N274"/>
      <c r="O274"/>
      <c r="P274"/>
      <c r="Q274"/>
      <c r="R274"/>
      <c r="S274"/>
    </row>
    <row r="275" spans="1:19">
      <c r="A275"/>
      <c r="B275"/>
      <c r="C275"/>
      <c r="D275"/>
      <c r="E275"/>
      <c r="F275"/>
      <c r="G275"/>
      <c r="H275"/>
      <c r="I275"/>
      <c r="J275"/>
      <c r="K275"/>
      <c r="L275"/>
      <c r="M275"/>
      <c r="N275"/>
      <c r="O275"/>
      <c r="P275"/>
      <c r="Q275"/>
      <c r="R275"/>
      <c r="S275"/>
    </row>
    <row r="276" spans="1:19">
      <c r="A276"/>
      <c r="B276"/>
      <c r="C276"/>
      <c r="D276"/>
      <c r="E276"/>
      <c r="F276"/>
      <c r="G276"/>
      <c r="H276"/>
      <c r="I276"/>
      <c r="J276"/>
      <c r="K276"/>
      <c r="L276"/>
      <c r="M276"/>
      <c r="N276"/>
      <c r="O276"/>
      <c r="P276"/>
      <c r="Q276"/>
      <c r="R276"/>
      <c r="S276"/>
    </row>
    <row r="277" spans="1:19">
      <c r="A277"/>
      <c r="B277"/>
      <c r="C277"/>
      <c r="D277"/>
      <c r="E277"/>
      <c r="F277"/>
      <c r="G277"/>
      <c r="H277"/>
      <c r="I277"/>
      <c r="J277"/>
      <c r="K277"/>
      <c r="L277"/>
      <c r="M277"/>
      <c r="N277"/>
      <c r="O277"/>
      <c r="P277"/>
      <c r="Q277"/>
      <c r="R277"/>
      <c r="S277"/>
    </row>
    <row r="278" spans="1:19">
      <c r="A278"/>
      <c r="B278"/>
      <c r="C278"/>
      <c r="D278"/>
      <c r="E278"/>
      <c r="F278"/>
      <c r="G278"/>
      <c r="H278"/>
      <c r="I278"/>
      <c r="J278"/>
      <c r="K278"/>
      <c r="L278"/>
      <c r="M278"/>
      <c r="N278"/>
      <c r="O278"/>
      <c r="P278"/>
      <c r="Q278"/>
      <c r="R278"/>
      <c r="S278"/>
    </row>
    <row r="279" spans="1:19">
      <c r="A279"/>
      <c r="B279"/>
      <c r="C279"/>
      <c r="D279"/>
      <c r="E279"/>
      <c r="F279"/>
      <c r="G279"/>
      <c r="H279"/>
      <c r="I279"/>
      <c r="J279"/>
      <c r="K279"/>
      <c r="L279"/>
      <c r="M279"/>
      <c r="N279"/>
      <c r="O279"/>
      <c r="P279"/>
      <c r="Q279"/>
      <c r="R279"/>
      <c r="S279"/>
    </row>
    <row r="280" spans="1:19">
      <c r="A280"/>
      <c r="B280"/>
      <c r="C280"/>
      <c r="D280"/>
      <c r="E280"/>
      <c r="F280"/>
      <c r="G280"/>
      <c r="H280"/>
      <c r="I280"/>
      <c r="J280"/>
      <c r="K280"/>
      <c r="L280"/>
      <c r="M280"/>
      <c r="N280"/>
      <c r="O280"/>
      <c r="P280"/>
      <c r="Q280"/>
      <c r="R280"/>
      <c r="S280"/>
    </row>
    <row r="281" spans="1:19">
      <c r="A281"/>
      <c r="B281"/>
      <c r="C281"/>
      <c r="D281"/>
      <c r="E281"/>
      <c r="F281"/>
      <c r="G281"/>
      <c r="H281"/>
      <c r="I281"/>
      <c r="J281"/>
      <c r="K281"/>
      <c r="L281"/>
      <c r="M281"/>
      <c r="N281"/>
      <c r="O281"/>
      <c r="P281"/>
      <c r="Q281"/>
      <c r="R281"/>
      <c r="S281"/>
    </row>
    <row r="282" spans="1:19">
      <c r="A282"/>
      <c r="B282"/>
      <c r="C282"/>
      <c r="D282"/>
      <c r="E282"/>
      <c r="F282"/>
      <c r="G282"/>
      <c r="H282"/>
      <c r="I282"/>
      <c r="J282"/>
      <c r="K282"/>
      <c r="L282"/>
      <c r="M282"/>
      <c r="N282"/>
      <c r="O282"/>
      <c r="P282"/>
      <c r="Q282"/>
      <c r="R282"/>
      <c r="S282"/>
    </row>
    <row r="283" spans="1:19">
      <c r="A283"/>
      <c r="B283"/>
      <c r="C283"/>
      <c r="D283"/>
      <c r="E283"/>
      <c r="F283"/>
      <c r="G283"/>
      <c r="H283"/>
      <c r="I283"/>
      <c r="J283"/>
      <c r="K283"/>
      <c r="L283"/>
      <c r="M283"/>
      <c r="N283"/>
      <c r="O283"/>
      <c r="P283"/>
      <c r="Q283"/>
      <c r="R283"/>
      <c r="S283"/>
    </row>
    <row r="284" spans="1:19">
      <c r="A284"/>
      <c r="B284"/>
      <c r="C284"/>
      <c r="D284"/>
      <c r="E284"/>
      <c r="F284"/>
      <c r="G284"/>
      <c r="H284"/>
      <c r="I284"/>
      <c r="J284"/>
      <c r="K284"/>
      <c r="L284"/>
      <c r="M284"/>
      <c r="N284"/>
      <c r="O284"/>
      <c r="P284"/>
      <c r="Q284"/>
      <c r="R284"/>
      <c r="S284"/>
    </row>
    <row r="285" spans="1:19">
      <c r="A285"/>
      <c r="B285"/>
      <c r="C285"/>
      <c r="D285"/>
      <c r="E285"/>
      <c r="F285"/>
      <c r="G285"/>
      <c r="H285"/>
      <c r="I285"/>
      <c r="J285"/>
      <c r="K285"/>
      <c r="L285"/>
      <c r="M285"/>
      <c r="N285"/>
      <c r="O285"/>
      <c r="P285"/>
      <c r="Q285"/>
      <c r="R285"/>
      <c r="S285"/>
    </row>
    <row r="286" spans="1:19">
      <c r="A286"/>
      <c r="B286"/>
      <c r="C286"/>
      <c r="D286"/>
      <c r="E286"/>
      <c r="F286"/>
      <c r="G286"/>
      <c r="H286"/>
      <c r="I286"/>
      <c r="J286"/>
      <c r="K286"/>
      <c r="L286"/>
      <c r="M286"/>
      <c r="N286"/>
      <c r="O286"/>
      <c r="P286"/>
      <c r="Q286"/>
      <c r="R286"/>
      <c r="S286"/>
    </row>
    <row r="287" spans="1:19">
      <c r="A287"/>
      <c r="B287"/>
      <c r="C287"/>
      <c r="D287"/>
      <c r="E287"/>
      <c r="F287"/>
      <c r="G287"/>
      <c r="H287"/>
      <c r="I287"/>
      <c r="J287"/>
      <c r="K287"/>
      <c r="L287"/>
      <c r="M287"/>
      <c r="N287"/>
      <c r="O287"/>
      <c r="P287"/>
      <c r="Q287"/>
      <c r="R287"/>
      <c r="S287"/>
    </row>
    <row r="288" spans="1:19">
      <c r="A288"/>
      <c r="B288"/>
      <c r="C288"/>
      <c r="D288"/>
      <c r="E288"/>
      <c r="F288"/>
      <c r="G288"/>
      <c r="H288"/>
      <c r="I288"/>
      <c r="J288"/>
      <c r="K288"/>
      <c r="L288"/>
      <c r="M288"/>
      <c r="N288"/>
      <c r="O288"/>
      <c r="P288"/>
      <c r="Q288"/>
      <c r="R288"/>
      <c r="S288"/>
    </row>
    <row r="289" spans="1:19">
      <c r="A289"/>
      <c r="B289"/>
      <c r="C289"/>
      <c r="D289"/>
      <c r="E289"/>
      <c r="F289"/>
      <c r="G289"/>
      <c r="H289"/>
      <c r="I289"/>
      <c r="J289"/>
      <c r="K289"/>
      <c r="L289"/>
      <c r="M289"/>
      <c r="N289"/>
      <c r="O289"/>
      <c r="P289"/>
      <c r="Q289"/>
      <c r="R289"/>
      <c r="S289"/>
    </row>
    <row r="290" spans="1:19">
      <c r="A290"/>
      <c r="B290"/>
      <c r="C290"/>
      <c r="D290"/>
      <c r="E290"/>
      <c r="F290"/>
      <c r="G290"/>
      <c r="H290"/>
      <c r="I290"/>
      <c r="J290"/>
      <c r="K290"/>
      <c r="L290"/>
      <c r="M290"/>
      <c r="N290"/>
      <c r="O290"/>
      <c r="P290"/>
      <c r="Q290"/>
      <c r="R290"/>
      <c r="S290"/>
    </row>
    <row r="291" spans="1:19">
      <c r="A291"/>
      <c r="B291"/>
      <c r="C291"/>
      <c r="D291"/>
      <c r="E291"/>
      <c r="F291"/>
      <c r="G291"/>
      <c r="H291"/>
      <c r="I291"/>
      <c r="J291"/>
      <c r="K291"/>
      <c r="L291"/>
      <c r="M291"/>
      <c r="N291"/>
      <c r="O291"/>
      <c r="P291"/>
      <c r="Q291"/>
      <c r="R291"/>
      <c r="S291"/>
    </row>
    <row r="292" spans="1:19">
      <c r="A292"/>
      <c r="B292"/>
      <c r="C292"/>
      <c r="D292"/>
      <c r="E292"/>
      <c r="F292"/>
      <c r="G292"/>
      <c r="H292"/>
      <c r="I292"/>
      <c r="J292"/>
      <c r="K292"/>
      <c r="L292"/>
      <c r="M292"/>
      <c r="N292"/>
      <c r="O292"/>
      <c r="P292"/>
      <c r="Q292"/>
      <c r="R292"/>
      <c r="S292"/>
    </row>
    <row r="293" spans="1:19">
      <c r="A293"/>
      <c r="B293"/>
      <c r="C293"/>
      <c r="D293"/>
      <c r="E293"/>
      <c r="F293"/>
      <c r="G293"/>
      <c r="H293"/>
      <c r="I293"/>
      <c r="J293"/>
      <c r="K293"/>
      <c r="L293"/>
      <c r="M293"/>
      <c r="N293"/>
      <c r="O293"/>
      <c r="P293"/>
      <c r="Q293"/>
      <c r="R293"/>
      <c r="S293"/>
    </row>
    <row r="294" spans="1:19">
      <c r="A294"/>
      <c r="B294"/>
      <c r="C294"/>
      <c r="D294"/>
      <c r="E294"/>
      <c r="F294"/>
      <c r="G294"/>
      <c r="H294"/>
      <c r="I294"/>
      <c r="J294"/>
      <c r="K294"/>
      <c r="L294"/>
      <c r="M294"/>
      <c r="N294"/>
      <c r="O294"/>
      <c r="P294"/>
      <c r="Q294"/>
      <c r="R294"/>
      <c r="S294"/>
    </row>
    <row r="295" spans="1:19">
      <c r="A295"/>
      <c r="B295"/>
      <c r="C295"/>
      <c r="D295"/>
      <c r="E295"/>
      <c r="F295"/>
      <c r="G295"/>
      <c r="H295"/>
      <c r="I295"/>
      <c r="J295"/>
      <c r="K295"/>
      <c r="L295"/>
      <c r="M295"/>
      <c r="N295"/>
      <c r="O295"/>
      <c r="P295"/>
      <c r="Q295"/>
      <c r="R295"/>
      <c r="S295"/>
    </row>
    <row r="296" spans="1:19">
      <c r="A296"/>
      <c r="B296"/>
      <c r="C296"/>
      <c r="D296"/>
      <c r="E296"/>
      <c r="F296"/>
      <c r="G296"/>
      <c r="H296"/>
      <c r="I296"/>
      <c r="J296"/>
      <c r="K296"/>
      <c r="L296"/>
      <c r="M296"/>
      <c r="N296"/>
      <c r="O296"/>
      <c r="P296"/>
      <c r="Q296"/>
      <c r="R296"/>
      <c r="S296"/>
    </row>
    <row r="297" spans="1:19">
      <c r="A297"/>
      <c r="B297"/>
      <c r="C297"/>
      <c r="D297"/>
      <c r="E297"/>
      <c r="F297"/>
      <c r="G297"/>
      <c r="H297"/>
      <c r="I297"/>
      <c r="J297"/>
      <c r="K297"/>
      <c r="L297"/>
      <c r="M297"/>
      <c r="N297"/>
      <c r="O297"/>
      <c r="P297"/>
      <c r="Q297"/>
      <c r="R297"/>
      <c r="S297"/>
    </row>
    <row r="298" spans="1:19">
      <c r="A298"/>
      <c r="B298"/>
      <c r="C298"/>
      <c r="D298"/>
      <c r="E298"/>
      <c r="F298"/>
      <c r="G298"/>
      <c r="H298"/>
      <c r="I298"/>
      <c r="J298"/>
      <c r="K298"/>
      <c r="L298"/>
      <c r="M298"/>
      <c r="N298"/>
      <c r="O298"/>
      <c r="P298"/>
      <c r="Q298"/>
      <c r="R298"/>
      <c r="S298"/>
    </row>
    <row r="299" spans="1:19">
      <c r="A299"/>
      <c r="B299"/>
      <c r="C299"/>
      <c r="D299"/>
      <c r="E299"/>
      <c r="F299"/>
      <c r="G299"/>
      <c r="H299"/>
      <c r="I299"/>
      <c r="J299"/>
      <c r="K299"/>
      <c r="L299"/>
      <c r="M299"/>
      <c r="N299"/>
      <c r="O299"/>
      <c r="P299"/>
      <c r="Q299"/>
      <c r="R299"/>
      <c r="S299"/>
    </row>
    <row r="300" spans="1:19">
      <c r="A300"/>
      <c r="B300"/>
      <c r="C300"/>
      <c r="D300"/>
      <c r="E300"/>
      <c r="F300"/>
      <c r="G300"/>
      <c r="H300"/>
      <c r="I300"/>
      <c r="J300"/>
      <c r="K300"/>
      <c r="L300"/>
      <c r="M300"/>
      <c r="N300"/>
      <c r="O300"/>
      <c r="P300"/>
      <c r="Q300"/>
      <c r="R300"/>
      <c r="S300"/>
    </row>
    <row r="301" spans="1:19">
      <c r="A301"/>
      <c r="B301"/>
      <c r="C301"/>
      <c r="D301"/>
      <c r="E301"/>
      <c r="F301"/>
      <c r="G301"/>
      <c r="H301"/>
      <c r="I301"/>
      <c r="J301"/>
      <c r="K301"/>
      <c r="L301"/>
      <c r="M301"/>
      <c r="N301"/>
      <c r="O301"/>
      <c r="P301"/>
      <c r="Q301"/>
      <c r="R301"/>
      <c r="S301"/>
    </row>
    <row r="302" spans="1:19">
      <c r="A302"/>
      <c r="B302"/>
      <c r="C302"/>
      <c r="D302"/>
      <c r="E302"/>
      <c r="F302"/>
      <c r="G302"/>
      <c r="H302"/>
      <c r="I302"/>
      <c r="J302"/>
      <c r="K302"/>
      <c r="L302"/>
      <c r="M302"/>
      <c r="N302"/>
      <c r="O302"/>
      <c r="P302"/>
      <c r="Q302"/>
      <c r="R302"/>
      <c r="S302"/>
    </row>
    <row r="303" spans="1:19">
      <c r="A303"/>
      <c r="B303"/>
      <c r="C303"/>
      <c r="D303"/>
      <c r="E303"/>
      <c r="F303"/>
      <c r="G303"/>
      <c r="H303"/>
      <c r="I303"/>
      <c r="J303"/>
      <c r="K303"/>
      <c r="L303"/>
      <c r="M303"/>
      <c r="N303"/>
      <c r="O303"/>
      <c r="P303"/>
      <c r="Q303"/>
      <c r="R303"/>
      <c r="S303"/>
    </row>
    <row r="304" spans="1:19">
      <c r="A304"/>
      <c r="B304"/>
      <c r="C304"/>
      <c r="D304"/>
      <c r="E304"/>
      <c r="F304"/>
      <c r="G304"/>
      <c r="H304"/>
      <c r="I304"/>
      <c r="J304"/>
      <c r="K304"/>
      <c r="L304"/>
      <c r="M304"/>
      <c r="N304"/>
      <c r="O304"/>
      <c r="P304"/>
      <c r="Q304"/>
      <c r="R304"/>
      <c r="S304"/>
    </row>
    <row r="305" spans="1:19">
      <c r="A305"/>
      <c r="B305"/>
      <c r="C305"/>
      <c r="D305"/>
      <c r="E305"/>
      <c r="F305"/>
      <c r="G305"/>
      <c r="H305"/>
      <c r="I305"/>
      <c r="J305"/>
      <c r="K305"/>
      <c r="L305"/>
      <c r="M305"/>
      <c r="N305"/>
      <c r="O305"/>
      <c r="P305"/>
      <c r="Q305"/>
      <c r="R305"/>
      <c r="S305"/>
    </row>
    <row r="306" spans="1:19">
      <c r="A306"/>
      <c r="B306"/>
      <c r="C306"/>
      <c r="D306"/>
      <c r="E306"/>
      <c r="F306"/>
      <c r="G306"/>
      <c r="H306"/>
      <c r="I306"/>
      <c r="J306"/>
      <c r="K306"/>
      <c r="L306"/>
      <c r="M306"/>
      <c r="N306"/>
      <c r="O306"/>
      <c r="P306"/>
      <c r="Q306"/>
      <c r="R306"/>
      <c r="S306"/>
    </row>
    <row r="307" spans="1:19">
      <c r="A307"/>
      <c r="B307"/>
      <c r="C307"/>
      <c r="D307"/>
      <c r="E307"/>
      <c r="F307"/>
      <c r="G307"/>
      <c r="H307"/>
      <c r="I307"/>
      <c r="J307"/>
      <c r="K307"/>
      <c r="L307"/>
      <c r="M307"/>
      <c r="N307"/>
      <c r="O307"/>
      <c r="P307"/>
      <c r="Q307"/>
      <c r="R307"/>
      <c r="S307"/>
    </row>
    <row r="308" spans="1:19">
      <c r="A308"/>
      <c r="B308"/>
      <c r="C308"/>
      <c r="D308"/>
      <c r="E308"/>
      <c r="F308"/>
      <c r="G308"/>
      <c r="H308"/>
      <c r="I308"/>
      <c r="J308"/>
      <c r="K308"/>
      <c r="L308"/>
      <c r="M308"/>
      <c r="N308"/>
      <c r="O308"/>
      <c r="P308"/>
      <c r="Q308"/>
      <c r="R308"/>
      <c r="S308"/>
    </row>
    <row r="309" spans="1:19">
      <c r="A309"/>
      <c r="B309"/>
      <c r="C309"/>
      <c r="D309"/>
      <c r="E309"/>
      <c r="F309"/>
      <c r="G309"/>
      <c r="H309"/>
      <c r="I309"/>
      <c r="J309"/>
      <c r="K309"/>
      <c r="L309"/>
      <c r="M309"/>
      <c r="N309"/>
      <c r="O309"/>
      <c r="P309"/>
      <c r="Q309"/>
      <c r="R309"/>
      <c r="S309"/>
    </row>
    <row r="310" spans="1:19">
      <c r="A310"/>
      <c r="B310"/>
      <c r="C310"/>
      <c r="D310"/>
      <c r="E310"/>
      <c r="F310"/>
      <c r="G310"/>
      <c r="H310"/>
      <c r="I310"/>
      <c r="J310"/>
      <c r="K310"/>
      <c r="L310"/>
      <c r="M310"/>
      <c r="N310"/>
      <c r="O310"/>
      <c r="P310"/>
      <c r="Q310"/>
      <c r="R310"/>
      <c r="S310"/>
    </row>
    <row r="311" spans="1:19">
      <c r="A311"/>
      <c r="B311"/>
      <c r="C311"/>
      <c r="D311"/>
      <c r="E311"/>
      <c r="F311"/>
      <c r="G311"/>
      <c r="H311"/>
      <c r="I311"/>
      <c r="J311"/>
      <c r="K311"/>
      <c r="L311"/>
      <c r="M311"/>
      <c r="N311"/>
      <c r="O311"/>
      <c r="P311"/>
      <c r="Q311"/>
      <c r="R311"/>
      <c r="S311"/>
    </row>
    <row r="312" spans="1:19">
      <c r="A312"/>
      <c r="B312"/>
      <c r="C312"/>
      <c r="D312"/>
      <c r="E312"/>
      <c r="F312"/>
      <c r="G312"/>
      <c r="H312"/>
      <c r="I312"/>
      <c r="J312"/>
      <c r="K312"/>
      <c r="L312"/>
      <c r="M312"/>
      <c r="N312"/>
      <c r="O312"/>
      <c r="P312"/>
      <c r="Q312"/>
      <c r="R312"/>
      <c r="S312"/>
    </row>
    <row r="313" spans="1:19">
      <c r="A313"/>
      <c r="B313"/>
      <c r="C313"/>
      <c r="D313"/>
      <c r="E313"/>
      <c r="F313"/>
      <c r="G313"/>
      <c r="H313"/>
      <c r="I313"/>
      <c r="J313"/>
      <c r="K313"/>
      <c r="L313"/>
      <c r="M313"/>
      <c r="N313"/>
      <c r="O313"/>
      <c r="P313"/>
      <c r="Q313"/>
      <c r="R313"/>
      <c r="S313"/>
    </row>
    <row r="314" spans="1:19">
      <c r="A314"/>
      <c r="B314"/>
      <c r="C314"/>
      <c r="D314"/>
      <c r="E314"/>
      <c r="F314"/>
      <c r="G314"/>
      <c r="H314"/>
      <c r="I314"/>
      <c r="J314"/>
      <c r="K314"/>
      <c r="L314"/>
      <c r="M314"/>
      <c r="N314"/>
      <c r="O314"/>
      <c r="P314"/>
      <c r="Q314"/>
      <c r="R314"/>
      <c r="S314"/>
    </row>
    <row r="315" spans="1:19">
      <c r="A315"/>
      <c r="B315"/>
      <c r="C315"/>
      <c r="D315"/>
      <c r="E315"/>
      <c r="F315"/>
      <c r="G315"/>
      <c r="H315"/>
      <c r="I315"/>
      <c r="J315"/>
      <c r="K315"/>
      <c r="L315"/>
      <c r="M315"/>
      <c r="N315"/>
      <c r="O315"/>
      <c r="P315"/>
      <c r="Q315"/>
      <c r="R315"/>
      <c r="S315"/>
    </row>
    <row r="316" spans="1:19">
      <c r="A316"/>
      <c r="B316"/>
      <c r="C316"/>
      <c r="D316"/>
      <c r="E316"/>
      <c r="F316"/>
      <c r="G316"/>
      <c r="H316"/>
      <c r="I316"/>
      <c r="J316"/>
      <c r="K316"/>
      <c r="L316"/>
      <c r="M316"/>
      <c r="N316"/>
      <c r="O316"/>
      <c r="P316"/>
      <c r="Q316"/>
      <c r="R316"/>
      <c r="S316"/>
    </row>
    <row r="317" spans="1:19">
      <c r="A317"/>
      <c r="B317"/>
      <c r="C317"/>
      <c r="D317"/>
      <c r="E317"/>
      <c r="F317"/>
      <c r="G317"/>
      <c r="H317"/>
      <c r="I317"/>
      <c r="J317"/>
      <c r="K317"/>
      <c r="L317"/>
      <c r="M317"/>
      <c r="N317"/>
      <c r="O317"/>
      <c r="P317"/>
      <c r="Q317"/>
      <c r="R317"/>
      <c r="S317"/>
    </row>
    <row r="318" spans="1:19">
      <c r="A318"/>
      <c r="B318"/>
      <c r="C318"/>
      <c r="D318"/>
      <c r="E318"/>
      <c r="F318"/>
      <c r="G318"/>
      <c r="H318"/>
      <c r="I318"/>
      <c r="J318"/>
      <c r="K318"/>
      <c r="L318"/>
      <c r="M318"/>
      <c r="N318"/>
      <c r="O318"/>
      <c r="P318"/>
      <c r="Q318"/>
      <c r="R318"/>
      <c r="S318"/>
    </row>
    <row r="319" spans="1:19">
      <c r="A319"/>
      <c r="B319"/>
      <c r="C319"/>
      <c r="D319"/>
      <c r="E319"/>
      <c r="F319"/>
      <c r="G319"/>
      <c r="H319"/>
      <c r="I319"/>
      <c r="J319"/>
      <c r="K319"/>
      <c r="L319"/>
      <c r="M319"/>
      <c r="N319"/>
      <c r="O319"/>
      <c r="P319"/>
      <c r="Q319"/>
      <c r="R319"/>
      <c r="S319"/>
    </row>
    <row r="320" spans="1:19">
      <c r="A320"/>
      <c r="B320"/>
      <c r="C320"/>
      <c r="D320"/>
      <c r="E320"/>
      <c r="F320"/>
      <c r="G320"/>
      <c r="H320"/>
      <c r="I320"/>
      <c r="J320"/>
      <c r="K320"/>
      <c r="L320"/>
      <c r="M320"/>
      <c r="N320"/>
      <c r="O320"/>
      <c r="P320"/>
      <c r="Q320"/>
      <c r="R320"/>
      <c r="S320"/>
    </row>
    <row r="321" spans="1:19">
      <c r="A321"/>
      <c r="B321"/>
      <c r="C321"/>
      <c r="D321"/>
      <c r="E321"/>
      <c r="F321"/>
      <c r="G321"/>
      <c r="H321"/>
      <c r="I321"/>
      <c r="J321"/>
      <c r="K321"/>
      <c r="L321"/>
      <c r="M321"/>
      <c r="N321"/>
      <c r="O321"/>
      <c r="P321"/>
      <c r="Q321"/>
      <c r="R321"/>
      <c r="S321"/>
    </row>
    <row r="322" spans="1:19">
      <c r="A322"/>
      <c r="B322"/>
      <c r="C322"/>
      <c r="D322"/>
      <c r="E322"/>
      <c r="F322"/>
      <c r="G322"/>
      <c r="H322"/>
      <c r="I322"/>
      <c r="J322"/>
      <c r="K322"/>
      <c r="L322"/>
      <c r="M322"/>
      <c r="N322"/>
      <c r="O322"/>
      <c r="P322"/>
      <c r="Q322"/>
      <c r="R322"/>
      <c r="S322"/>
    </row>
    <row r="323" spans="1:19">
      <c r="A323"/>
      <c r="B323"/>
      <c r="C323"/>
      <c r="D323"/>
      <c r="E323"/>
      <c r="F323"/>
      <c r="G323"/>
      <c r="H323"/>
      <c r="I323"/>
      <c r="J323"/>
      <c r="K323"/>
      <c r="L323"/>
      <c r="M323"/>
      <c r="N323"/>
      <c r="O323"/>
      <c r="P323"/>
      <c r="Q323"/>
      <c r="R323"/>
      <c r="S323"/>
    </row>
    <row r="324" spans="1:19">
      <c r="A324"/>
      <c r="B324"/>
      <c r="C324"/>
      <c r="D324"/>
      <c r="E324"/>
      <c r="F324"/>
      <c r="G324"/>
      <c r="H324"/>
      <c r="I324"/>
      <c r="J324"/>
      <c r="K324"/>
      <c r="L324"/>
      <c r="M324"/>
      <c r="N324"/>
      <c r="O324"/>
      <c r="P324"/>
      <c r="Q324"/>
      <c r="R324"/>
      <c r="S324"/>
    </row>
    <row r="325" spans="1:19">
      <c r="A325"/>
      <c r="B325"/>
      <c r="C325"/>
      <c r="D325"/>
      <c r="E325"/>
      <c r="F325"/>
      <c r="G325"/>
      <c r="H325"/>
      <c r="I325"/>
      <c r="J325"/>
      <c r="K325"/>
      <c r="L325"/>
      <c r="M325"/>
      <c r="N325"/>
      <c r="O325"/>
      <c r="P325"/>
      <c r="Q325"/>
      <c r="R325"/>
      <c r="S325"/>
    </row>
    <row r="326" spans="1:19">
      <c r="A326"/>
      <c r="B326"/>
      <c r="C326"/>
      <c r="D326"/>
      <c r="E326"/>
      <c r="F326"/>
      <c r="G326"/>
      <c r="H326"/>
      <c r="I326"/>
      <c r="J326"/>
      <c r="K326"/>
      <c r="L326"/>
      <c r="M326"/>
      <c r="N326"/>
      <c r="O326"/>
      <c r="P326"/>
      <c r="Q326"/>
      <c r="R326"/>
      <c r="S326"/>
    </row>
    <row r="327" spans="1:19">
      <c r="A327"/>
      <c r="B327"/>
      <c r="C327"/>
      <c r="D327"/>
      <c r="E327"/>
      <c r="F327"/>
      <c r="G327"/>
      <c r="H327"/>
      <c r="I327"/>
      <c r="J327"/>
      <c r="K327"/>
      <c r="L327"/>
      <c r="M327"/>
      <c r="N327"/>
      <c r="O327"/>
      <c r="P327"/>
      <c r="Q327"/>
      <c r="R327"/>
      <c r="S327"/>
    </row>
    <row r="328" spans="1:19">
      <c r="A328"/>
      <c r="B328"/>
      <c r="C328"/>
      <c r="D328"/>
      <c r="E328"/>
      <c r="F328"/>
      <c r="G328"/>
      <c r="H328"/>
      <c r="I328"/>
      <c r="J328"/>
      <c r="K328"/>
      <c r="L328"/>
      <c r="M328"/>
      <c r="N328"/>
      <c r="O328"/>
      <c r="P328"/>
      <c r="Q328"/>
      <c r="R328"/>
      <c r="S328"/>
    </row>
    <row r="329" spans="1:19">
      <c r="A329"/>
      <c r="B329"/>
      <c r="C329"/>
      <c r="D329"/>
      <c r="E329"/>
      <c r="F329"/>
      <c r="G329"/>
      <c r="H329"/>
      <c r="I329"/>
      <c r="J329"/>
      <c r="K329"/>
      <c r="L329"/>
      <c r="M329"/>
      <c r="N329"/>
      <c r="O329"/>
      <c r="P329"/>
      <c r="Q329"/>
      <c r="R329"/>
      <c r="S329"/>
    </row>
    <row r="330" spans="1:19">
      <c r="A330"/>
      <c r="B330"/>
      <c r="C330"/>
      <c r="D330"/>
      <c r="E330"/>
      <c r="F330"/>
      <c r="G330"/>
      <c r="H330"/>
      <c r="I330"/>
      <c r="J330"/>
      <c r="K330"/>
      <c r="L330"/>
      <c r="M330"/>
      <c r="N330"/>
      <c r="O330"/>
      <c r="P330"/>
      <c r="Q330"/>
      <c r="R330"/>
      <c r="S330"/>
    </row>
    <row r="331" spans="1:19">
      <c r="A331"/>
      <c r="B331"/>
      <c r="C331"/>
      <c r="D331"/>
      <c r="E331"/>
      <c r="F331"/>
      <c r="G331"/>
      <c r="H331"/>
      <c r="I331"/>
      <c r="J331"/>
      <c r="K331"/>
      <c r="L331"/>
      <c r="M331"/>
      <c r="N331"/>
      <c r="O331"/>
      <c r="P331"/>
      <c r="Q331"/>
      <c r="R331"/>
      <c r="S331"/>
    </row>
    <row r="332" spans="1:19">
      <c r="A332"/>
      <c r="B332"/>
      <c r="C332"/>
      <c r="D332"/>
      <c r="E332"/>
      <c r="F332"/>
      <c r="G332"/>
      <c r="H332"/>
      <c r="I332"/>
      <c r="J332"/>
      <c r="K332"/>
      <c r="L332"/>
      <c r="M332"/>
      <c r="N332"/>
      <c r="O332"/>
      <c r="P332"/>
      <c r="Q332"/>
      <c r="R332"/>
      <c r="S332"/>
    </row>
    <row r="333" spans="1:19">
      <c r="A333"/>
      <c r="B333"/>
      <c r="C333"/>
      <c r="D333"/>
      <c r="E333"/>
      <c r="F333"/>
      <c r="G333"/>
      <c r="H333"/>
      <c r="I333"/>
      <c r="J333"/>
      <c r="K333"/>
      <c r="L333"/>
      <c r="M333"/>
      <c r="N333"/>
      <c r="O333"/>
      <c r="P333"/>
      <c r="Q333"/>
      <c r="R333"/>
      <c r="S333"/>
    </row>
    <row r="334" spans="1:19">
      <c r="A334"/>
      <c r="B334"/>
      <c r="C334"/>
      <c r="D334"/>
      <c r="E334"/>
      <c r="F334"/>
      <c r="G334"/>
      <c r="H334"/>
      <c r="I334"/>
      <c r="J334"/>
      <c r="K334"/>
      <c r="L334"/>
      <c r="M334"/>
      <c r="N334"/>
      <c r="O334"/>
      <c r="P334"/>
      <c r="Q334"/>
      <c r="R334"/>
      <c r="S334"/>
    </row>
    <row r="335" spans="1:19">
      <c r="A335"/>
      <c r="B335"/>
      <c r="C335"/>
      <c r="D335"/>
      <c r="E335"/>
      <c r="F335"/>
      <c r="G335"/>
      <c r="H335"/>
      <c r="I335"/>
      <c r="J335"/>
      <c r="K335"/>
      <c r="L335"/>
      <c r="M335"/>
      <c r="N335"/>
      <c r="O335"/>
      <c r="P335"/>
      <c r="Q335"/>
      <c r="R335"/>
      <c r="S335"/>
    </row>
    <row r="336" spans="1:19">
      <c r="A336"/>
      <c r="B336"/>
      <c r="C336"/>
      <c r="D336"/>
      <c r="E336"/>
      <c r="F336"/>
      <c r="G336"/>
      <c r="H336"/>
      <c r="I336"/>
      <c r="J336"/>
      <c r="K336"/>
      <c r="L336"/>
      <c r="M336"/>
      <c r="N336"/>
      <c r="O336"/>
      <c r="P336"/>
      <c r="Q336"/>
      <c r="R336"/>
      <c r="S336"/>
    </row>
    <row r="337" spans="1:19">
      <c r="A337"/>
      <c r="B337"/>
      <c r="C337"/>
      <c r="D337"/>
      <c r="E337"/>
      <c r="F337"/>
      <c r="G337"/>
      <c r="H337"/>
      <c r="I337"/>
      <c r="J337"/>
      <c r="K337"/>
      <c r="L337"/>
      <c r="M337"/>
      <c r="N337"/>
      <c r="O337"/>
      <c r="P337"/>
      <c r="Q337"/>
      <c r="R337"/>
      <c r="S337"/>
    </row>
    <row r="338" spans="1:19">
      <c r="A338"/>
      <c r="B338"/>
      <c r="C338"/>
      <c r="D338"/>
      <c r="E338"/>
      <c r="F338"/>
      <c r="G338"/>
      <c r="H338"/>
      <c r="I338"/>
      <c r="J338"/>
      <c r="K338"/>
      <c r="L338"/>
      <c r="M338"/>
      <c r="N338"/>
      <c r="O338"/>
      <c r="P338"/>
      <c r="Q338"/>
      <c r="R338"/>
      <c r="S338"/>
    </row>
    <row r="339" spans="1:19">
      <c r="A339"/>
      <c r="B339"/>
      <c r="C339"/>
      <c r="D339"/>
      <c r="E339"/>
      <c r="F339"/>
      <c r="G339"/>
      <c r="H339"/>
      <c r="I339"/>
      <c r="J339"/>
      <c r="K339"/>
      <c r="L339"/>
      <c r="M339"/>
      <c r="N339"/>
      <c r="O339"/>
      <c r="P339"/>
      <c r="Q339"/>
      <c r="R339"/>
      <c r="S339"/>
    </row>
    <row r="340" spans="1:19">
      <c r="A340"/>
      <c r="B340"/>
      <c r="C340"/>
      <c r="D340"/>
      <c r="E340"/>
      <c r="F340"/>
      <c r="G340"/>
      <c r="H340"/>
      <c r="I340"/>
      <c r="J340"/>
      <c r="K340"/>
      <c r="L340"/>
      <c r="M340"/>
      <c r="N340"/>
      <c r="O340"/>
      <c r="P340"/>
      <c r="Q340"/>
      <c r="R340"/>
      <c r="S340"/>
    </row>
    <row r="341" spans="1:19">
      <c r="A341"/>
      <c r="B341"/>
      <c r="C341"/>
      <c r="D341"/>
      <c r="E341"/>
      <c r="F341"/>
      <c r="G341"/>
      <c r="H341"/>
      <c r="I341"/>
      <c r="J341"/>
      <c r="K341"/>
      <c r="L341"/>
      <c r="M341"/>
      <c r="N341"/>
      <c r="O341"/>
      <c r="P341"/>
      <c r="Q341"/>
      <c r="R341"/>
      <c r="S341"/>
    </row>
    <row r="342" spans="1:19">
      <c r="A342"/>
      <c r="B342"/>
      <c r="C342"/>
      <c r="D342"/>
      <c r="E342"/>
      <c r="F342"/>
      <c r="G342"/>
      <c r="H342"/>
      <c r="I342"/>
      <c r="J342"/>
      <c r="K342"/>
      <c r="L342"/>
      <c r="M342"/>
      <c r="N342"/>
      <c r="O342"/>
      <c r="P342"/>
      <c r="Q342"/>
      <c r="R342"/>
      <c r="S342"/>
    </row>
    <row r="343" spans="1:19">
      <c r="A343"/>
      <c r="B343"/>
      <c r="C343"/>
      <c r="D343"/>
      <c r="E343"/>
      <c r="F343"/>
      <c r="G343"/>
      <c r="H343"/>
      <c r="I343"/>
      <c r="J343"/>
      <c r="K343"/>
      <c r="L343"/>
      <c r="M343"/>
      <c r="N343"/>
      <c r="O343"/>
      <c r="P343"/>
      <c r="Q343"/>
      <c r="R343"/>
      <c r="S343"/>
    </row>
    <row r="344" spans="1:19">
      <c r="A344"/>
      <c r="B344"/>
      <c r="C344"/>
      <c r="D344"/>
      <c r="E344"/>
      <c r="F344"/>
      <c r="G344"/>
      <c r="H344"/>
      <c r="I344"/>
      <c r="J344"/>
      <c r="K344"/>
      <c r="L344"/>
      <c r="M344"/>
      <c r="N344"/>
      <c r="O344"/>
      <c r="P344"/>
      <c r="Q344"/>
      <c r="R344"/>
      <c r="S344"/>
    </row>
    <row r="345" spans="1:19">
      <c r="A345"/>
      <c r="B345"/>
      <c r="C345"/>
      <c r="D345"/>
      <c r="E345"/>
      <c r="F345"/>
      <c r="G345"/>
      <c r="H345"/>
      <c r="I345"/>
      <c r="J345"/>
      <c r="K345"/>
      <c r="L345"/>
      <c r="M345"/>
      <c r="N345"/>
      <c r="O345"/>
      <c r="P345"/>
      <c r="Q345"/>
      <c r="R345"/>
      <c r="S345"/>
    </row>
    <row r="346" spans="1:19">
      <c r="A346"/>
      <c r="B346"/>
      <c r="C346"/>
      <c r="D346"/>
      <c r="E346"/>
      <c r="F346"/>
      <c r="G346"/>
      <c r="H346"/>
      <c r="I346"/>
      <c r="J346"/>
      <c r="K346"/>
      <c r="L346"/>
      <c r="M346"/>
      <c r="N346"/>
      <c r="O346"/>
      <c r="P346"/>
      <c r="Q346"/>
      <c r="R346"/>
      <c r="S346"/>
    </row>
    <row r="347" spans="1:19">
      <c r="A347"/>
      <c r="B347"/>
      <c r="C347"/>
      <c r="D347"/>
      <c r="E347"/>
      <c r="F347"/>
      <c r="G347"/>
      <c r="H347"/>
      <c r="I347"/>
      <c r="J347"/>
      <c r="K347"/>
      <c r="L347"/>
      <c r="M347"/>
      <c r="N347"/>
      <c r="O347"/>
      <c r="P347"/>
      <c r="Q347"/>
      <c r="R347"/>
      <c r="S347"/>
    </row>
    <row r="348" spans="1:19">
      <c r="A348"/>
      <c r="B348"/>
      <c r="C348"/>
      <c r="D348"/>
      <c r="E348"/>
      <c r="F348"/>
      <c r="G348"/>
      <c r="H348"/>
      <c r="I348"/>
      <c r="J348"/>
      <c r="K348"/>
      <c r="L348"/>
      <c r="M348"/>
      <c r="N348"/>
      <c r="O348"/>
      <c r="P348"/>
      <c r="Q348"/>
      <c r="R348"/>
      <c r="S348"/>
    </row>
    <row r="349" spans="1:19">
      <c r="A349"/>
      <c r="B349"/>
      <c r="C349"/>
      <c r="D349"/>
      <c r="E349"/>
      <c r="F349"/>
      <c r="G349"/>
      <c r="H349"/>
      <c r="I349"/>
      <c r="J349"/>
      <c r="K349"/>
      <c r="L349"/>
      <c r="M349"/>
      <c r="N349"/>
      <c r="O349"/>
      <c r="P349"/>
      <c r="Q349"/>
      <c r="R349"/>
      <c r="S349"/>
    </row>
    <row r="350" spans="1:19">
      <c r="A350"/>
      <c r="B350"/>
      <c r="C350"/>
      <c r="D350"/>
      <c r="E350"/>
      <c r="F350"/>
      <c r="G350"/>
      <c r="H350"/>
      <c r="I350"/>
      <c r="J350"/>
      <c r="K350"/>
      <c r="L350"/>
      <c r="M350"/>
      <c r="N350"/>
      <c r="O350"/>
      <c r="P350"/>
      <c r="Q350"/>
      <c r="R350"/>
      <c r="S350"/>
    </row>
    <row r="351" spans="1:19">
      <c r="A351"/>
      <c r="B351"/>
      <c r="C351"/>
      <c r="D351"/>
      <c r="E351"/>
      <c r="F351"/>
      <c r="G351"/>
      <c r="H351"/>
      <c r="I351"/>
      <c r="J351"/>
      <c r="K351"/>
      <c r="L351"/>
      <c r="M351"/>
      <c r="N351"/>
      <c r="O351"/>
      <c r="P351"/>
      <c r="Q351"/>
      <c r="R351"/>
      <c r="S351"/>
    </row>
    <row r="352" spans="1:19">
      <c r="A352"/>
      <c r="B352"/>
      <c r="C352"/>
      <c r="D352"/>
      <c r="E352"/>
      <c r="F352"/>
      <c r="G352"/>
      <c r="H352"/>
      <c r="I352"/>
      <c r="J352"/>
      <c r="K352"/>
      <c r="L352"/>
      <c r="M352"/>
      <c r="N352"/>
      <c r="O352"/>
      <c r="P352"/>
      <c r="Q352"/>
      <c r="R352"/>
      <c r="S352"/>
    </row>
    <row r="353" spans="1:19">
      <c r="A353"/>
      <c r="B353"/>
      <c r="C353"/>
      <c r="D353"/>
      <c r="E353"/>
      <c r="F353"/>
      <c r="G353"/>
      <c r="H353"/>
      <c r="I353"/>
      <c r="J353"/>
      <c r="K353"/>
      <c r="L353"/>
      <c r="M353"/>
      <c r="N353"/>
      <c r="O353"/>
      <c r="P353"/>
      <c r="Q353"/>
      <c r="R353"/>
      <c r="S353"/>
    </row>
    <row r="354" spans="1:19">
      <c r="A354"/>
      <c r="B354"/>
      <c r="C354"/>
      <c r="D354"/>
      <c r="E354"/>
      <c r="F354"/>
      <c r="G354"/>
      <c r="H354"/>
      <c r="I354"/>
      <c r="J354"/>
      <c r="K354"/>
      <c r="L354"/>
      <c r="M354"/>
      <c r="N354"/>
      <c r="O354"/>
      <c r="P354"/>
      <c r="Q354"/>
      <c r="R354"/>
      <c r="S354"/>
    </row>
    <row r="355" spans="1:19">
      <c r="A355"/>
      <c r="B355"/>
      <c r="C355"/>
      <c r="D355"/>
      <c r="E355"/>
      <c r="F355"/>
      <c r="G355"/>
      <c r="H355"/>
      <c r="I355"/>
      <c r="J355"/>
      <c r="K355"/>
      <c r="L355"/>
      <c r="M355"/>
      <c r="N355"/>
      <c r="O355"/>
      <c r="P355"/>
      <c r="Q355"/>
      <c r="R355"/>
      <c r="S355"/>
    </row>
    <row r="356" spans="1:19">
      <c r="A356"/>
      <c r="B356"/>
      <c r="C356"/>
      <c r="D356"/>
      <c r="E356"/>
      <c r="F356"/>
      <c r="G356"/>
      <c r="H356"/>
      <c r="I356"/>
      <c r="J356"/>
      <c r="K356"/>
      <c r="L356"/>
      <c r="M356"/>
      <c r="N356"/>
      <c r="O356"/>
      <c r="P356"/>
      <c r="Q356"/>
      <c r="R356"/>
      <c r="S356"/>
    </row>
    <row r="357" spans="1:19">
      <c r="A357"/>
      <c r="B357"/>
      <c r="C357"/>
      <c r="D357"/>
      <c r="E357"/>
      <c r="F357"/>
      <c r="G357"/>
      <c r="H357"/>
      <c r="I357"/>
      <c r="J357"/>
      <c r="K357"/>
      <c r="L357"/>
      <c r="M357"/>
      <c r="N357"/>
      <c r="O357"/>
      <c r="P357"/>
      <c r="Q357"/>
      <c r="R357"/>
      <c r="S357"/>
    </row>
    <row r="358" spans="1:19">
      <c r="A358"/>
      <c r="B358"/>
      <c r="C358"/>
      <c r="D358"/>
      <c r="E358"/>
      <c r="F358"/>
      <c r="G358"/>
      <c r="H358"/>
      <c r="I358"/>
      <c r="J358"/>
      <c r="K358"/>
      <c r="L358"/>
      <c r="M358"/>
      <c r="N358"/>
      <c r="O358"/>
      <c r="P358"/>
      <c r="Q358"/>
      <c r="R358"/>
      <c r="S358"/>
    </row>
    <row r="359" spans="1:19">
      <c r="A359"/>
      <c r="B359"/>
      <c r="C359"/>
      <c r="D359"/>
      <c r="E359"/>
      <c r="F359"/>
      <c r="G359"/>
      <c r="H359"/>
      <c r="I359"/>
      <c r="J359"/>
      <c r="K359"/>
      <c r="L359"/>
      <c r="M359"/>
      <c r="N359"/>
      <c r="O359"/>
      <c r="P359"/>
      <c r="Q359"/>
      <c r="R359"/>
      <c r="S359"/>
    </row>
    <row r="360" spans="1:19">
      <c r="A360"/>
      <c r="B360"/>
      <c r="C360"/>
      <c r="D360"/>
      <c r="E360"/>
      <c r="F360"/>
      <c r="G360"/>
      <c r="H360"/>
      <c r="I360"/>
      <c r="J360"/>
      <c r="K360"/>
      <c r="L360"/>
      <c r="M360"/>
      <c r="N360"/>
      <c r="O360"/>
      <c r="P360"/>
      <c r="Q360"/>
      <c r="R360"/>
      <c r="S360"/>
    </row>
    <row r="361" spans="1:19">
      <c r="A361"/>
      <c r="B361"/>
      <c r="C361"/>
      <c r="D361"/>
      <c r="E361"/>
      <c r="F361"/>
      <c r="G361"/>
      <c r="H361"/>
      <c r="I361"/>
      <c r="J361"/>
      <c r="K361"/>
      <c r="L361"/>
      <c r="M361"/>
      <c r="N361"/>
      <c r="O361"/>
      <c r="P361"/>
      <c r="Q361"/>
      <c r="R361"/>
      <c r="S361"/>
    </row>
    <row r="362" spans="1:19">
      <c r="A362"/>
      <c r="B362"/>
      <c r="C362"/>
      <c r="D362"/>
      <c r="E362"/>
      <c r="F362"/>
      <c r="G362"/>
      <c r="H362"/>
      <c r="I362"/>
      <c r="J362"/>
      <c r="K362"/>
      <c r="L362"/>
      <c r="M362"/>
      <c r="N362"/>
      <c r="O362"/>
      <c r="P362"/>
      <c r="Q362"/>
      <c r="R362"/>
      <c r="S362"/>
    </row>
    <row r="363" spans="1:19">
      <c r="A363"/>
      <c r="B363"/>
      <c r="C363"/>
      <c r="D363"/>
      <c r="E363"/>
      <c r="F363"/>
      <c r="G363"/>
      <c r="H363"/>
      <c r="I363"/>
      <c r="J363"/>
      <c r="K363"/>
      <c r="L363"/>
      <c r="M363"/>
      <c r="N363"/>
      <c r="O363"/>
      <c r="P363"/>
      <c r="Q363"/>
      <c r="R363"/>
      <c r="S363"/>
    </row>
    <row r="364" spans="1:19">
      <c r="A364"/>
      <c r="B364"/>
      <c r="C364"/>
      <c r="D364"/>
      <c r="E364"/>
      <c r="F364"/>
      <c r="G364"/>
      <c r="H364"/>
      <c r="I364"/>
      <c r="J364"/>
      <c r="K364"/>
      <c r="L364"/>
      <c r="M364"/>
      <c r="N364"/>
      <c r="O364"/>
      <c r="P364"/>
      <c r="Q364"/>
      <c r="R364"/>
      <c r="S364"/>
    </row>
    <row r="365" spans="1:19">
      <c r="A365"/>
      <c r="B365"/>
      <c r="C365"/>
      <c r="D365"/>
      <c r="E365"/>
      <c r="F365"/>
      <c r="G365"/>
      <c r="H365"/>
      <c r="I365"/>
      <c r="J365"/>
      <c r="K365"/>
      <c r="L365"/>
      <c r="M365"/>
      <c r="N365"/>
      <c r="O365"/>
      <c r="P365"/>
      <c r="Q365"/>
      <c r="R365"/>
      <c r="S365"/>
    </row>
    <row r="366" spans="1:19">
      <c r="A366"/>
      <c r="B366"/>
      <c r="C366"/>
      <c r="D366"/>
      <c r="E366"/>
      <c r="F366"/>
      <c r="G366"/>
      <c r="H366"/>
      <c r="I366"/>
      <c r="J366"/>
      <c r="K366"/>
      <c r="L366"/>
      <c r="M366"/>
      <c r="N366"/>
      <c r="O366"/>
      <c r="P366"/>
      <c r="Q366"/>
      <c r="R366"/>
      <c r="S366"/>
    </row>
    <row r="367" spans="1:19">
      <c r="A367"/>
      <c r="B367"/>
      <c r="C367"/>
      <c r="D367"/>
      <c r="E367"/>
      <c r="F367"/>
      <c r="G367"/>
      <c r="H367"/>
      <c r="I367"/>
      <c r="J367"/>
      <c r="K367"/>
      <c r="L367"/>
      <c r="M367"/>
      <c r="N367"/>
      <c r="O367"/>
      <c r="P367"/>
      <c r="Q367"/>
      <c r="R367"/>
      <c r="S367"/>
    </row>
    <row r="368" spans="1:19">
      <c r="A368"/>
      <c r="B368"/>
      <c r="C368"/>
      <c r="D368"/>
      <c r="E368"/>
      <c r="F368"/>
      <c r="G368"/>
      <c r="H368"/>
      <c r="I368"/>
      <c r="J368"/>
      <c r="K368"/>
      <c r="L368"/>
      <c r="M368"/>
      <c r="N368"/>
      <c r="O368"/>
      <c r="P368"/>
      <c r="Q368"/>
      <c r="R368"/>
      <c r="S368"/>
    </row>
    <row r="369" spans="1:19">
      <c r="A369"/>
      <c r="B369"/>
      <c r="C369"/>
      <c r="D369"/>
      <c r="E369"/>
      <c r="F369"/>
      <c r="G369"/>
      <c r="H369"/>
      <c r="I369"/>
      <c r="J369"/>
      <c r="K369"/>
      <c r="L369"/>
      <c r="M369"/>
      <c r="N369"/>
      <c r="O369"/>
      <c r="P369"/>
      <c r="Q369"/>
      <c r="R369"/>
      <c r="S369"/>
    </row>
    <row r="370" spans="1:19">
      <c r="A370"/>
      <c r="B370"/>
      <c r="C370"/>
      <c r="D370"/>
      <c r="E370"/>
      <c r="F370"/>
      <c r="G370"/>
      <c r="H370"/>
      <c r="I370"/>
      <c r="J370"/>
      <c r="K370"/>
      <c r="L370"/>
      <c r="M370"/>
      <c r="N370"/>
      <c r="O370"/>
      <c r="P370"/>
      <c r="Q370"/>
      <c r="R370"/>
      <c r="S370"/>
    </row>
    <row r="371" spans="1:19">
      <c r="A371"/>
      <c r="B371"/>
      <c r="C371"/>
      <c r="D371"/>
      <c r="E371"/>
      <c r="F371"/>
      <c r="G371"/>
      <c r="H371"/>
      <c r="I371"/>
      <c r="J371"/>
      <c r="K371"/>
      <c r="L371"/>
      <c r="M371"/>
      <c r="N371"/>
      <c r="O371"/>
      <c r="P371"/>
      <c r="Q371"/>
      <c r="R371"/>
      <c r="S371"/>
    </row>
    <row r="372" spans="1:19">
      <c r="A372"/>
      <c r="B372"/>
      <c r="C372"/>
      <c r="D372"/>
      <c r="E372"/>
      <c r="F372"/>
      <c r="G372"/>
      <c r="H372"/>
      <c r="I372"/>
      <c r="J372"/>
      <c r="K372"/>
      <c r="L372"/>
      <c r="M372"/>
      <c r="N372"/>
      <c r="O372"/>
      <c r="P372"/>
      <c r="Q372"/>
      <c r="R372"/>
      <c r="S372"/>
    </row>
    <row r="373" spans="1:19">
      <c r="A373"/>
      <c r="B373"/>
      <c r="C373"/>
      <c r="D373"/>
      <c r="E373"/>
      <c r="F373"/>
      <c r="G373"/>
      <c r="H373"/>
      <c r="I373"/>
      <c r="J373"/>
      <c r="K373"/>
      <c r="L373"/>
      <c r="M373"/>
      <c r="N373"/>
      <c r="O373"/>
      <c r="P373"/>
      <c r="Q373"/>
      <c r="R373"/>
      <c r="S373"/>
    </row>
    <row r="374" spans="1:19">
      <c r="A374"/>
      <c r="B374"/>
      <c r="C374"/>
      <c r="D374"/>
      <c r="E374"/>
      <c r="F374"/>
      <c r="G374"/>
      <c r="H374"/>
      <c r="I374"/>
      <c r="J374"/>
      <c r="K374"/>
      <c r="L374"/>
      <c r="M374"/>
      <c r="N374"/>
      <c r="O374"/>
      <c r="P374"/>
      <c r="Q374"/>
      <c r="R374"/>
      <c r="S374"/>
    </row>
    <row r="375" spans="1:19">
      <c r="A375"/>
      <c r="B375"/>
      <c r="C375"/>
      <c r="D375"/>
      <c r="E375"/>
      <c r="F375"/>
      <c r="G375"/>
      <c r="H375"/>
      <c r="I375"/>
      <c r="J375"/>
      <c r="K375"/>
      <c r="L375"/>
      <c r="M375"/>
      <c r="N375"/>
      <c r="O375"/>
      <c r="P375"/>
      <c r="Q375"/>
      <c r="R375"/>
      <c r="S375"/>
    </row>
    <row r="376" spans="1:19">
      <c r="A376"/>
      <c r="B376"/>
      <c r="C376"/>
      <c r="D376"/>
      <c r="E376"/>
      <c r="F376"/>
      <c r="G376"/>
      <c r="H376"/>
      <c r="I376"/>
      <c r="J376"/>
      <c r="K376"/>
      <c r="L376"/>
      <c r="M376"/>
      <c r="N376"/>
      <c r="O376"/>
      <c r="P376"/>
      <c r="Q376"/>
      <c r="R376"/>
      <c r="S376"/>
    </row>
    <row r="377" spans="1:19">
      <c r="A377"/>
      <c r="B377"/>
      <c r="C377"/>
      <c r="D377"/>
      <c r="E377"/>
      <c r="F377"/>
      <c r="G377"/>
      <c r="H377"/>
      <c r="I377"/>
      <c r="J377"/>
      <c r="K377"/>
      <c r="L377"/>
      <c r="M377"/>
      <c r="N377"/>
      <c r="O377"/>
      <c r="P377"/>
      <c r="Q377"/>
      <c r="R377"/>
      <c r="S377"/>
    </row>
    <row r="378" spans="1:19">
      <c r="A378"/>
      <c r="B378"/>
      <c r="C378"/>
      <c r="D378"/>
      <c r="E378"/>
      <c r="F378"/>
      <c r="G378"/>
      <c r="H378"/>
      <c r="I378"/>
      <c r="J378"/>
      <c r="K378"/>
      <c r="L378"/>
      <c r="M378"/>
      <c r="N378"/>
      <c r="O378"/>
      <c r="P378"/>
      <c r="Q378"/>
      <c r="R378"/>
      <c r="S378"/>
    </row>
    <row r="379" spans="1:19">
      <c r="A379"/>
      <c r="B379"/>
      <c r="C379"/>
      <c r="D379"/>
      <c r="E379"/>
      <c r="F379"/>
      <c r="G379"/>
      <c r="H379"/>
      <c r="I379"/>
      <c r="J379"/>
      <c r="K379"/>
      <c r="L379"/>
      <c r="M379"/>
      <c r="N379"/>
      <c r="O379"/>
      <c r="P379"/>
      <c r="Q379"/>
      <c r="R379"/>
      <c r="S379"/>
    </row>
    <row r="380" spans="1:19">
      <c r="A380"/>
      <c r="B380"/>
      <c r="C380"/>
      <c r="D380"/>
      <c r="E380"/>
      <c r="F380"/>
      <c r="G380"/>
      <c r="H380"/>
      <c r="I380"/>
      <c r="J380"/>
      <c r="K380"/>
      <c r="L380"/>
      <c r="M380"/>
      <c r="N380"/>
      <c r="O380"/>
      <c r="P380"/>
      <c r="Q380"/>
      <c r="R380"/>
      <c r="S380"/>
    </row>
    <row r="381" spans="1:19">
      <c r="A381"/>
      <c r="B381"/>
      <c r="C381"/>
      <c r="D381"/>
      <c r="E381"/>
      <c r="F381"/>
      <c r="G381"/>
      <c r="H381"/>
      <c r="I381"/>
      <c r="J381"/>
      <c r="K381"/>
      <c r="L381"/>
      <c r="M381"/>
      <c r="N381"/>
      <c r="O381"/>
      <c r="P381"/>
      <c r="Q381"/>
      <c r="R381"/>
      <c r="S381"/>
    </row>
    <row r="382" spans="1:19">
      <c r="A382"/>
      <c r="B382"/>
      <c r="C382"/>
      <c r="D382"/>
      <c r="E382"/>
      <c r="F382"/>
      <c r="G382"/>
      <c r="H382"/>
      <c r="I382"/>
      <c r="J382"/>
      <c r="K382"/>
      <c r="L382"/>
      <c r="M382"/>
      <c r="N382"/>
      <c r="O382"/>
      <c r="P382"/>
      <c r="Q382"/>
      <c r="R382"/>
      <c r="S382"/>
    </row>
    <row r="383" spans="1:19">
      <c r="A383"/>
      <c r="B383"/>
      <c r="C383"/>
      <c r="D383"/>
      <c r="E383"/>
      <c r="F383"/>
      <c r="G383"/>
      <c r="H383"/>
      <c r="I383"/>
      <c r="J383"/>
      <c r="K383"/>
      <c r="L383"/>
      <c r="M383"/>
      <c r="N383"/>
      <c r="O383"/>
      <c r="P383"/>
      <c r="Q383"/>
      <c r="R383"/>
      <c r="S383"/>
    </row>
    <row r="384" spans="1:19">
      <c r="A384"/>
      <c r="B384"/>
      <c r="C384"/>
      <c r="D384"/>
      <c r="E384"/>
      <c r="F384"/>
      <c r="G384"/>
      <c r="H384"/>
      <c r="I384"/>
      <c r="J384"/>
      <c r="K384"/>
      <c r="L384"/>
      <c r="M384"/>
      <c r="N384"/>
      <c r="O384"/>
      <c r="P384"/>
      <c r="Q384"/>
      <c r="R384"/>
      <c r="S384"/>
    </row>
    <row r="385" spans="1:19">
      <c r="A385"/>
      <c r="B385"/>
      <c r="C385"/>
      <c r="D385"/>
      <c r="E385"/>
      <c r="F385"/>
      <c r="G385"/>
      <c r="H385"/>
      <c r="I385"/>
      <c r="J385"/>
      <c r="K385"/>
      <c r="L385"/>
      <c r="M385"/>
      <c r="N385"/>
      <c r="O385"/>
      <c r="P385"/>
      <c r="Q385"/>
      <c r="R385"/>
      <c r="S385"/>
    </row>
    <row r="386" spans="1:19">
      <c r="A386"/>
      <c r="B386"/>
      <c r="C386"/>
      <c r="D386"/>
      <c r="E386"/>
      <c r="F386"/>
      <c r="G386"/>
      <c r="H386"/>
      <c r="I386"/>
      <c r="J386"/>
      <c r="K386"/>
      <c r="L386"/>
      <c r="M386"/>
      <c r="N386"/>
      <c r="O386"/>
      <c r="P386"/>
      <c r="Q386"/>
      <c r="R386"/>
      <c r="S386"/>
    </row>
    <row r="387" spans="1:19">
      <c r="A387"/>
      <c r="B387"/>
      <c r="C387"/>
      <c r="D387"/>
      <c r="E387"/>
      <c r="F387"/>
      <c r="G387"/>
      <c r="H387"/>
      <c r="I387"/>
      <c r="J387"/>
      <c r="K387"/>
      <c r="L387"/>
      <c r="M387"/>
      <c r="N387"/>
      <c r="O387"/>
      <c r="P387"/>
      <c r="Q387"/>
      <c r="R387"/>
      <c r="S387"/>
    </row>
    <row r="388" spans="1:19">
      <c r="A388"/>
      <c r="B388"/>
      <c r="C388"/>
      <c r="D388"/>
      <c r="E388"/>
      <c r="F388"/>
      <c r="G388"/>
      <c r="H388"/>
      <c r="I388"/>
      <c r="J388"/>
      <c r="K388"/>
      <c r="L388"/>
      <c r="M388"/>
      <c r="N388"/>
      <c r="O388"/>
      <c r="P388"/>
      <c r="Q388"/>
      <c r="R388"/>
      <c r="S388"/>
    </row>
    <row r="389" spans="1:19">
      <c r="A389"/>
      <c r="B389"/>
      <c r="C389"/>
      <c r="D389"/>
      <c r="E389"/>
      <c r="F389"/>
      <c r="G389"/>
      <c r="H389"/>
      <c r="I389"/>
      <c r="J389"/>
      <c r="K389"/>
      <c r="L389"/>
      <c r="M389"/>
      <c r="N389"/>
      <c r="O389"/>
      <c r="P389"/>
      <c r="Q389"/>
      <c r="R389"/>
      <c r="S389"/>
    </row>
    <row r="390" spans="1:19">
      <c r="A390"/>
      <c r="B390"/>
      <c r="C390"/>
      <c r="D390"/>
      <c r="E390"/>
      <c r="F390"/>
      <c r="G390"/>
      <c r="H390"/>
      <c r="I390"/>
      <c r="J390"/>
      <c r="K390"/>
      <c r="L390"/>
      <c r="M390"/>
      <c r="N390"/>
      <c r="O390"/>
      <c r="P390"/>
      <c r="Q390"/>
      <c r="R390"/>
      <c r="S390"/>
    </row>
    <row r="391" spans="1:19">
      <c r="A391"/>
      <c r="B391"/>
      <c r="C391"/>
      <c r="D391"/>
      <c r="E391"/>
      <c r="F391"/>
      <c r="G391"/>
      <c r="H391"/>
      <c r="I391"/>
      <c r="J391"/>
      <c r="K391"/>
      <c r="L391"/>
      <c r="M391"/>
      <c r="N391"/>
      <c r="O391"/>
      <c r="P391"/>
      <c r="Q391"/>
      <c r="R391"/>
      <c r="S391"/>
    </row>
    <row r="392" spans="1:19">
      <c r="A392"/>
      <c r="B392"/>
      <c r="C392"/>
      <c r="D392"/>
      <c r="E392"/>
      <c r="F392"/>
      <c r="G392"/>
      <c r="H392"/>
      <c r="I392"/>
      <c r="J392"/>
      <c r="K392"/>
      <c r="L392"/>
      <c r="M392"/>
      <c r="N392"/>
      <c r="O392"/>
      <c r="P392"/>
      <c r="Q392"/>
      <c r="R392"/>
      <c r="S392"/>
    </row>
    <row r="393" spans="1:19">
      <c r="A393"/>
      <c r="B393"/>
      <c r="C393"/>
      <c r="D393"/>
      <c r="E393"/>
      <c r="F393"/>
      <c r="G393"/>
      <c r="H393"/>
      <c r="I393"/>
      <c r="J393"/>
      <c r="K393"/>
      <c r="L393"/>
      <c r="M393"/>
      <c r="N393"/>
      <c r="O393"/>
      <c r="P393"/>
      <c r="Q393"/>
      <c r="R393"/>
      <c r="S393"/>
    </row>
    <row r="394" spans="1:19">
      <c r="A394"/>
      <c r="B394"/>
      <c r="C394"/>
      <c r="D394"/>
      <c r="E394"/>
      <c r="F394"/>
      <c r="G394"/>
      <c r="H394"/>
      <c r="I394"/>
      <c r="J394"/>
      <c r="K394"/>
      <c r="L394"/>
      <c r="M394"/>
      <c r="N394"/>
      <c r="O394"/>
      <c r="P394"/>
      <c r="Q394"/>
      <c r="R394"/>
      <c r="S394"/>
    </row>
    <row r="395" spans="1:19">
      <c r="A395"/>
      <c r="B395"/>
      <c r="C395"/>
      <c r="D395"/>
      <c r="E395"/>
      <c r="F395"/>
      <c r="G395"/>
      <c r="H395"/>
      <c r="I395"/>
      <c r="J395"/>
      <c r="K395"/>
      <c r="L395"/>
      <c r="M395"/>
      <c r="N395"/>
      <c r="O395"/>
      <c r="P395"/>
      <c r="Q395"/>
      <c r="R395"/>
      <c r="S395"/>
    </row>
    <row r="396" spans="1:19">
      <c r="A396"/>
      <c r="B396"/>
      <c r="C396"/>
      <c r="D396"/>
      <c r="E396"/>
      <c r="F396"/>
      <c r="G396"/>
      <c r="H396"/>
      <c r="I396"/>
      <c r="J396"/>
      <c r="K396"/>
      <c r="L396"/>
      <c r="M396"/>
      <c r="N396"/>
      <c r="O396"/>
      <c r="P396"/>
      <c r="Q396"/>
      <c r="R396"/>
      <c r="S396"/>
    </row>
    <row r="397" spans="1:19">
      <c r="A397"/>
      <c r="B397"/>
      <c r="C397"/>
      <c r="D397"/>
      <c r="E397"/>
      <c r="F397"/>
      <c r="G397"/>
      <c r="H397"/>
      <c r="I397"/>
      <c r="J397"/>
      <c r="K397"/>
      <c r="L397"/>
      <c r="M397"/>
      <c r="N397"/>
      <c r="O397"/>
      <c r="P397"/>
      <c r="Q397"/>
      <c r="R397"/>
      <c r="S397"/>
    </row>
    <row r="398" spans="1:19">
      <c r="A398"/>
      <c r="B398"/>
      <c r="C398"/>
      <c r="D398"/>
      <c r="E398"/>
      <c r="F398"/>
      <c r="G398"/>
      <c r="H398"/>
      <c r="I398"/>
      <c r="J398"/>
      <c r="K398"/>
      <c r="L398"/>
      <c r="M398"/>
      <c r="N398"/>
      <c r="O398"/>
      <c r="P398"/>
      <c r="Q398"/>
      <c r="R398"/>
      <c r="S398"/>
    </row>
    <row r="399" spans="1:19">
      <c r="A399"/>
      <c r="B399"/>
      <c r="C399"/>
      <c r="D399"/>
      <c r="E399"/>
      <c r="F399"/>
      <c r="G399"/>
      <c r="H399"/>
      <c r="I399"/>
      <c r="J399"/>
      <c r="K399"/>
      <c r="L399"/>
      <c r="M399"/>
      <c r="N399"/>
      <c r="O399"/>
      <c r="P399"/>
      <c r="Q399"/>
      <c r="R399"/>
      <c r="S399"/>
    </row>
    <row r="400" spans="1:19">
      <c r="A400"/>
      <c r="B400"/>
      <c r="C400"/>
      <c r="D400"/>
      <c r="E400"/>
      <c r="F400"/>
      <c r="G400"/>
      <c r="H400"/>
      <c r="I400"/>
      <c r="J400"/>
      <c r="K400"/>
      <c r="L400"/>
      <c r="M400"/>
      <c r="N400"/>
      <c r="O400"/>
      <c r="P400"/>
      <c r="Q400"/>
      <c r="R400"/>
      <c r="S400"/>
    </row>
    <row r="401" spans="1:19">
      <c r="A401"/>
      <c r="B401"/>
      <c r="C401"/>
      <c r="D401"/>
      <c r="E401"/>
      <c r="F401"/>
      <c r="G401"/>
      <c r="H401"/>
      <c r="I401"/>
      <c r="J401"/>
      <c r="K401"/>
      <c r="L401"/>
      <c r="M401"/>
      <c r="N401"/>
      <c r="O401"/>
      <c r="P401"/>
      <c r="Q401"/>
      <c r="R401"/>
      <c r="S401"/>
    </row>
    <row r="402" spans="1:19">
      <c r="A402"/>
      <c r="B402"/>
      <c r="C402"/>
      <c r="D402"/>
      <c r="E402"/>
      <c r="F402"/>
      <c r="G402"/>
      <c r="H402"/>
      <c r="I402"/>
      <c r="J402"/>
      <c r="K402"/>
      <c r="L402"/>
      <c r="M402"/>
      <c r="N402"/>
      <c r="O402"/>
      <c r="P402"/>
      <c r="Q402"/>
      <c r="R402"/>
      <c r="S402"/>
    </row>
    <row r="403" spans="1:19">
      <c r="A403"/>
      <c r="B403"/>
      <c r="C403"/>
      <c r="D403"/>
      <c r="E403"/>
      <c r="F403"/>
      <c r="G403"/>
      <c r="H403"/>
      <c r="I403"/>
      <c r="J403"/>
      <c r="K403"/>
      <c r="L403"/>
      <c r="M403"/>
      <c r="N403"/>
      <c r="O403"/>
      <c r="P403"/>
      <c r="Q403"/>
      <c r="R403"/>
      <c r="S403"/>
    </row>
    <row r="404" spans="1:19">
      <c r="A404"/>
      <c r="B404"/>
      <c r="C404"/>
      <c r="D404"/>
      <c r="E404"/>
      <c r="F404"/>
      <c r="G404"/>
      <c r="H404"/>
      <c r="I404"/>
      <c r="J404"/>
      <c r="K404"/>
      <c r="L404"/>
      <c r="M404"/>
      <c r="N404"/>
      <c r="O404"/>
      <c r="P404"/>
      <c r="Q404"/>
      <c r="R404"/>
      <c r="S404"/>
    </row>
    <row r="405" spans="1:19">
      <c r="A405"/>
      <c r="B405"/>
      <c r="C405"/>
      <c r="D405"/>
      <c r="E405"/>
      <c r="F405"/>
      <c r="G405"/>
      <c r="H405"/>
      <c r="I405"/>
      <c r="J405"/>
      <c r="K405"/>
      <c r="L405"/>
      <c r="M405"/>
      <c r="N405"/>
      <c r="O405"/>
      <c r="P405"/>
      <c r="Q405"/>
      <c r="R405"/>
      <c r="S405"/>
    </row>
    <row r="406" spans="1:19">
      <c r="A406"/>
      <c r="B406"/>
      <c r="C406"/>
      <c r="D406"/>
      <c r="E406"/>
      <c r="F406"/>
      <c r="G406"/>
      <c r="H406"/>
      <c r="I406"/>
      <c r="J406"/>
      <c r="K406"/>
      <c r="L406"/>
      <c r="M406"/>
      <c r="N406"/>
      <c r="O406"/>
      <c r="P406"/>
      <c r="Q406"/>
      <c r="R406"/>
      <c r="S406"/>
    </row>
    <row r="407" spans="1:19">
      <c r="A407"/>
      <c r="B407"/>
      <c r="C407"/>
      <c r="D407"/>
      <c r="E407"/>
      <c r="F407"/>
      <c r="G407"/>
      <c r="H407"/>
      <c r="I407"/>
      <c r="J407"/>
      <c r="K407"/>
      <c r="L407"/>
      <c r="M407"/>
      <c r="N407"/>
      <c r="O407"/>
      <c r="P407"/>
      <c r="Q407"/>
      <c r="R407"/>
      <c r="S407"/>
    </row>
    <row r="408" spans="1:19">
      <c r="A408"/>
      <c r="B408"/>
      <c r="C408"/>
      <c r="D408"/>
      <c r="E408"/>
      <c r="F408"/>
      <c r="G408"/>
      <c r="H408"/>
      <c r="I408"/>
      <c r="J408"/>
      <c r="K408"/>
      <c r="L408"/>
      <c r="M408"/>
      <c r="N408"/>
      <c r="O408"/>
      <c r="P408"/>
      <c r="Q408"/>
      <c r="R408"/>
      <c r="S408"/>
    </row>
    <row r="409" spans="1:19">
      <c r="A409"/>
      <c r="B409"/>
      <c r="C409"/>
      <c r="D409"/>
      <c r="E409"/>
      <c r="F409"/>
      <c r="G409"/>
      <c r="H409"/>
      <c r="I409"/>
      <c r="J409"/>
      <c r="K409"/>
      <c r="L409"/>
      <c r="M409"/>
      <c r="N409"/>
      <c r="O409"/>
      <c r="P409"/>
      <c r="Q409"/>
      <c r="R409"/>
      <c r="S409"/>
    </row>
    <row r="410" spans="1:19">
      <c r="A410"/>
      <c r="B410"/>
      <c r="C410"/>
      <c r="D410"/>
      <c r="E410"/>
      <c r="F410"/>
      <c r="G410"/>
      <c r="H410"/>
      <c r="I410"/>
      <c r="J410"/>
      <c r="K410"/>
      <c r="L410"/>
      <c r="M410"/>
      <c r="N410"/>
      <c r="O410"/>
      <c r="P410"/>
      <c r="Q410"/>
      <c r="R410"/>
      <c r="S410"/>
    </row>
    <row r="411" spans="1:19">
      <c r="A411"/>
      <c r="B411"/>
      <c r="C411"/>
      <c r="D411"/>
      <c r="E411"/>
      <c r="F411"/>
      <c r="G411"/>
      <c r="H411"/>
      <c r="I411"/>
      <c r="J411"/>
      <c r="K411"/>
      <c r="L411"/>
      <c r="M411"/>
      <c r="N411"/>
      <c r="O411"/>
      <c r="P411"/>
      <c r="Q411"/>
      <c r="R411"/>
      <c r="S411"/>
    </row>
    <row r="412" spans="1:19">
      <c r="A412"/>
      <c r="B412"/>
      <c r="C412"/>
      <c r="D412"/>
      <c r="E412"/>
      <c r="F412"/>
      <c r="G412"/>
      <c r="H412"/>
      <c r="I412"/>
      <c r="J412"/>
      <c r="K412"/>
      <c r="L412"/>
      <c r="M412"/>
      <c r="N412"/>
      <c r="O412"/>
      <c r="P412"/>
      <c r="Q412"/>
      <c r="R412"/>
      <c r="S412"/>
    </row>
    <row r="413" spans="1:19">
      <c r="A413"/>
      <c r="B413"/>
      <c r="C413"/>
      <c r="D413"/>
      <c r="E413"/>
      <c r="F413"/>
      <c r="G413"/>
      <c r="H413"/>
      <c r="I413"/>
      <c r="J413"/>
      <c r="K413"/>
      <c r="L413"/>
      <c r="M413"/>
      <c r="N413"/>
      <c r="O413"/>
      <c r="P413"/>
      <c r="Q413"/>
      <c r="R413"/>
      <c r="S413"/>
    </row>
    <row r="414" spans="1:19">
      <c r="A414"/>
      <c r="B414"/>
      <c r="C414"/>
      <c r="D414"/>
      <c r="E414"/>
      <c r="F414"/>
      <c r="G414"/>
      <c r="H414"/>
      <c r="I414"/>
      <c r="J414"/>
      <c r="K414"/>
      <c r="L414"/>
      <c r="M414"/>
      <c r="N414"/>
      <c r="O414"/>
      <c r="P414"/>
      <c r="Q414"/>
      <c r="R414"/>
      <c r="S414"/>
    </row>
    <row r="415" spans="1:19">
      <c r="A415"/>
      <c r="B415"/>
      <c r="C415"/>
      <c r="D415"/>
      <c r="E415"/>
      <c r="F415"/>
      <c r="G415"/>
      <c r="H415"/>
      <c r="I415"/>
      <c r="J415"/>
      <c r="K415"/>
      <c r="L415"/>
      <c r="M415"/>
      <c r="N415"/>
      <c r="O415"/>
      <c r="P415"/>
      <c r="Q415"/>
      <c r="R415"/>
      <c r="S415"/>
    </row>
    <row r="416" spans="1:19">
      <c r="A416"/>
      <c r="B416"/>
      <c r="C416"/>
      <c r="D416"/>
      <c r="E416"/>
      <c r="F416"/>
      <c r="G416"/>
      <c r="H416"/>
      <c r="I416"/>
      <c r="J416"/>
      <c r="K416"/>
      <c r="L416"/>
      <c r="M416"/>
      <c r="N416"/>
      <c r="O416"/>
      <c r="P416"/>
      <c r="Q416"/>
      <c r="R416"/>
      <c r="S416"/>
    </row>
    <row r="417" spans="1:19">
      <c r="A417"/>
      <c r="B417"/>
      <c r="C417"/>
      <c r="D417"/>
      <c r="E417"/>
      <c r="F417"/>
      <c r="G417"/>
      <c r="H417"/>
      <c r="I417"/>
      <c r="J417"/>
      <c r="K417"/>
      <c r="L417"/>
      <c r="M417"/>
      <c r="N417"/>
      <c r="O417"/>
      <c r="P417"/>
      <c r="Q417"/>
      <c r="R417"/>
      <c r="S417"/>
    </row>
    <row r="418" spans="1:19">
      <c r="A418"/>
      <c r="B418"/>
      <c r="C418"/>
      <c r="D418"/>
      <c r="E418"/>
      <c r="F418"/>
      <c r="G418"/>
      <c r="H418"/>
      <c r="I418"/>
      <c r="J418"/>
      <c r="K418"/>
      <c r="L418"/>
      <c r="M418"/>
      <c r="N418"/>
      <c r="O418"/>
      <c r="P418"/>
      <c r="Q418"/>
      <c r="R418"/>
      <c r="S418"/>
    </row>
    <row r="419" spans="1:19">
      <c r="A419"/>
      <c r="B419"/>
      <c r="C419"/>
      <c r="D419"/>
      <c r="E419"/>
      <c r="F419"/>
      <c r="G419"/>
      <c r="H419"/>
      <c r="I419"/>
      <c r="J419"/>
      <c r="K419"/>
      <c r="L419"/>
      <c r="M419"/>
      <c r="N419"/>
      <c r="O419"/>
      <c r="P419"/>
      <c r="Q419"/>
      <c r="R419"/>
      <c r="S419"/>
    </row>
    <row r="420" spans="1:19">
      <c r="A420"/>
      <c r="B420"/>
      <c r="C420"/>
      <c r="D420"/>
      <c r="E420"/>
      <c r="F420"/>
      <c r="G420"/>
      <c r="H420"/>
      <c r="I420"/>
      <c r="J420"/>
      <c r="K420"/>
      <c r="L420"/>
      <c r="M420"/>
      <c r="N420"/>
      <c r="O420"/>
      <c r="P420"/>
      <c r="Q420"/>
      <c r="R420"/>
      <c r="S420"/>
    </row>
    <row r="421" spans="1:19">
      <c r="A421"/>
      <c r="B421"/>
      <c r="C421"/>
      <c r="D421"/>
      <c r="E421"/>
      <c r="F421"/>
      <c r="G421"/>
      <c r="H421"/>
      <c r="I421"/>
      <c r="J421"/>
      <c r="K421"/>
      <c r="L421"/>
      <c r="M421"/>
      <c r="N421"/>
      <c r="O421"/>
      <c r="P421"/>
      <c r="Q421"/>
      <c r="R421"/>
      <c r="S421"/>
    </row>
    <row r="422" spans="1:19">
      <c r="A422"/>
      <c r="B422"/>
      <c r="C422"/>
      <c r="D422"/>
      <c r="E422"/>
      <c r="F422"/>
      <c r="G422"/>
      <c r="H422"/>
      <c r="I422"/>
      <c r="J422"/>
      <c r="K422"/>
      <c r="L422"/>
      <c r="M422"/>
      <c r="N422"/>
      <c r="O422"/>
      <c r="P422"/>
      <c r="Q422"/>
      <c r="R422"/>
      <c r="S422"/>
    </row>
    <row r="423" spans="1:19">
      <c r="A423"/>
      <c r="B423"/>
      <c r="C423"/>
      <c r="D423"/>
      <c r="E423"/>
      <c r="F423"/>
      <c r="G423"/>
      <c r="H423"/>
      <c r="I423"/>
      <c r="J423"/>
      <c r="K423"/>
      <c r="L423"/>
      <c r="M423"/>
      <c r="N423"/>
      <c r="O423"/>
      <c r="P423"/>
      <c r="Q423"/>
      <c r="R423"/>
      <c r="S423"/>
    </row>
    <row r="424" spans="1:19">
      <c r="A424"/>
      <c r="B424"/>
      <c r="C424"/>
      <c r="D424"/>
      <c r="E424"/>
      <c r="F424"/>
      <c r="G424"/>
      <c r="H424"/>
      <c r="I424"/>
      <c r="J424"/>
      <c r="K424"/>
      <c r="L424"/>
      <c r="M424"/>
      <c r="N424"/>
      <c r="O424"/>
      <c r="P424"/>
      <c r="Q424"/>
      <c r="R424"/>
      <c r="S424"/>
    </row>
    <row r="425" spans="1:19">
      <c r="A425"/>
      <c r="B425"/>
      <c r="C425"/>
      <c r="D425"/>
      <c r="E425"/>
      <c r="F425"/>
      <c r="G425"/>
      <c r="H425"/>
      <c r="I425"/>
      <c r="J425"/>
      <c r="K425"/>
      <c r="L425"/>
      <c r="M425"/>
      <c r="N425"/>
      <c r="O425"/>
      <c r="P425"/>
      <c r="Q425"/>
      <c r="R425"/>
      <c r="S425"/>
    </row>
    <row r="426" spans="1:19">
      <c r="A426"/>
      <c r="B426"/>
      <c r="C426"/>
      <c r="D426"/>
      <c r="E426"/>
      <c r="F426"/>
      <c r="G426"/>
      <c r="H426"/>
      <c r="I426"/>
      <c r="J426"/>
      <c r="K426"/>
      <c r="L426"/>
      <c r="M426"/>
      <c r="N426"/>
      <c r="O426"/>
      <c r="P426"/>
      <c r="Q426"/>
      <c r="R426"/>
      <c r="S426"/>
    </row>
    <row r="427" spans="1:19">
      <c r="A427"/>
      <c r="B427"/>
      <c r="C427"/>
      <c r="D427"/>
      <c r="E427"/>
      <c r="F427"/>
      <c r="G427"/>
      <c r="H427"/>
      <c r="I427"/>
      <c r="J427"/>
      <c r="K427"/>
      <c r="L427"/>
      <c r="M427"/>
      <c r="N427"/>
      <c r="O427"/>
      <c r="P427"/>
      <c r="Q427"/>
      <c r="R427"/>
      <c r="S427"/>
    </row>
    <row r="428" spans="1:19">
      <c r="A428"/>
      <c r="B428"/>
      <c r="C428"/>
      <c r="D428"/>
      <c r="E428"/>
      <c r="F428"/>
      <c r="G428"/>
      <c r="H428"/>
      <c r="I428"/>
      <c r="J428"/>
      <c r="K428"/>
      <c r="L428"/>
      <c r="M428"/>
      <c r="N428"/>
      <c r="O428"/>
      <c r="P428"/>
      <c r="Q428"/>
      <c r="R428"/>
      <c r="S428"/>
    </row>
    <row r="429" spans="1:19">
      <c r="A429"/>
      <c r="B429"/>
      <c r="C429"/>
      <c r="D429"/>
      <c r="E429"/>
      <c r="F429"/>
      <c r="G429"/>
      <c r="H429"/>
      <c r="I429"/>
      <c r="J429"/>
      <c r="K429"/>
      <c r="L429"/>
      <c r="M429"/>
      <c r="N429"/>
      <c r="O429"/>
      <c r="P429"/>
      <c r="Q429"/>
      <c r="R429"/>
      <c r="S429"/>
    </row>
    <row r="430" spans="1:19">
      <c r="A430"/>
      <c r="B430"/>
      <c r="C430"/>
      <c r="D430"/>
      <c r="E430"/>
      <c r="F430"/>
      <c r="G430"/>
      <c r="H430"/>
      <c r="I430"/>
      <c r="J430"/>
      <c r="K430"/>
      <c r="L430"/>
      <c r="M430"/>
      <c r="N430"/>
      <c r="O430"/>
      <c r="P430"/>
      <c r="Q430"/>
      <c r="R430"/>
      <c r="S430"/>
    </row>
    <row r="431" spans="1:19">
      <c r="A431"/>
      <c r="B431"/>
      <c r="C431"/>
      <c r="D431"/>
      <c r="E431"/>
      <c r="F431"/>
      <c r="G431"/>
      <c r="H431"/>
      <c r="I431"/>
      <c r="J431"/>
      <c r="K431"/>
      <c r="L431"/>
      <c r="M431"/>
      <c r="N431"/>
      <c r="O431"/>
      <c r="P431"/>
      <c r="Q431"/>
      <c r="R431"/>
      <c r="S431"/>
    </row>
    <row r="432" spans="1:19">
      <c r="A432"/>
      <c r="B432"/>
      <c r="C432"/>
      <c r="D432"/>
      <c r="E432"/>
      <c r="F432"/>
      <c r="G432"/>
      <c r="H432"/>
      <c r="I432"/>
      <c r="J432"/>
      <c r="K432"/>
      <c r="L432"/>
      <c r="M432"/>
      <c r="N432"/>
      <c r="O432"/>
      <c r="P432"/>
      <c r="Q432"/>
      <c r="R432"/>
      <c r="S432"/>
    </row>
    <row r="433" spans="1:19">
      <c r="A433"/>
      <c r="B433"/>
      <c r="C433"/>
      <c r="D433"/>
      <c r="E433"/>
      <c r="F433"/>
      <c r="G433"/>
      <c r="H433"/>
      <c r="I433"/>
      <c r="J433"/>
      <c r="K433"/>
      <c r="L433"/>
      <c r="M433"/>
      <c r="N433"/>
      <c r="O433"/>
      <c r="P433"/>
      <c r="Q433"/>
      <c r="R433"/>
      <c r="S433"/>
    </row>
    <row r="434" spans="1:19">
      <c r="A434"/>
      <c r="B434"/>
      <c r="C434"/>
      <c r="D434"/>
      <c r="E434"/>
      <c r="F434"/>
      <c r="G434"/>
      <c r="H434"/>
      <c r="I434"/>
      <c r="J434"/>
      <c r="K434"/>
      <c r="L434"/>
      <c r="M434"/>
      <c r="N434"/>
      <c r="O434"/>
      <c r="P434"/>
      <c r="Q434"/>
      <c r="R434"/>
      <c r="S434"/>
    </row>
    <row r="435" spans="1:19">
      <c r="A435"/>
      <c r="B435"/>
      <c r="C435"/>
      <c r="D435"/>
      <c r="E435"/>
      <c r="F435"/>
      <c r="G435"/>
      <c r="H435"/>
      <c r="I435"/>
      <c r="J435"/>
      <c r="K435"/>
      <c r="L435"/>
      <c r="M435"/>
      <c r="N435"/>
      <c r="O435"/>
      <c r="P435"/>
      <c r="Q435"/>
      <c r="R435"/>
      <c r="S435"/>
    </row>
    <row r="436" spans="1:19">
      <c r="A436"/>
      <c r="B436"/>
      <c r="C436"/>
      <c r="D436"/>
      <c r="E436"/>
      <c r="F436"/>
      <c r="G436"/>
      <c r="H436"/>
      <c r="I436"/>
      <c r="J436"/>
      <c r="K436"/>
      <c r="L436"/>
      <c r="M436"/>
      <c r="N436"/>
      <c r="O436"/>
      <c r="P436"/>
      <c r="Q436"/>
      <c r="R436"/>
      <c r="S436"/>
    </row>
    <row r="437" spans="1:19">
      <c r="A437"/>
      <c r="B437"/>
      <c r="C437"/>
      <c r="D437"/>
      <c r="E437"/>
      <c r="F437"/>
      <c r="G437"/>
      <c r="H437"/>
      <c r="I437"/>
      <c r="J437"/>
      <c r="K437"/>
      <c r="L437"/>
      <c r="M437"/>
      <c r="N437"/>
      <c r="O437"/>
      <c r="P437"/>
      <c r="Q437"/>
      <c r="R437"/>
      <c r="S437"/>
    </row>
    <row r="438" spans="1:19">
      <c r="A438"/>
      <c r="B438"/>
      <c r="C438"/>
      <c r="D438"/>
      <c r="E438"/>
      <c r="F438"/>
      <c r="G438"/>
      <c r="H438"/>
      <c r="I438"/>
      <c r="J438"/>
      <c r="K438"/>
      <c r="L438"/>
      <c r="M438"/>
      <c r="N438"/>
      <c r="O438"/>
      <c r="P438"/>
      <c r="Q438"/>
      <c r="R438"/>
      <c r="S438"/>
    </row>
    <row r="439" spans="1:19">
      <c r="A439"/>
      <c r="B439"/>
      <c r="C439"/>
      <c r="D439"/>
      <c r="E439"/>
      <c r="F439"/>
      <c r="G439"/>
      <c r="H439"/>
      <c r="I439"/>
      <c r="J439"/>
      <c r="K439"/>
      <c r="L439"/>
      <c r="M439"/>
      <c r="N439"/>
      <c r="O439"/>
      <c r="P439"/>
      <c r="Q439"/>
      <c r="R439"/>
      <c r="S439"/>
    </row>
    <row r="440" spans="1:19">
      <c r="A440"/>
      <c r="B440"/>
      <c r="C440"/>
      <c r="D440"/>
      <c r="E440"/>
      <c r="F440"/>
      <c r="G440"/>
      <c r="H440"/>
      <c r="I440"/>
      <c r="J440"/>
      <c r="K440"/>
      <c r="L440"/>
      <c r="M440"/>
      <c r="N440"/>
      <c r="O440"/>
      <c r="P440"/>
      <c r="Q440"/>
      <c r="R440"/>
      <c r="S440"/>
    </row>
    <row r="441" spans="1:19">
      <c r="A441"/>
      <c r="B441"/>
      <c r="C441"/>
      <c r="D441"/>
      <c r="E441"/>
      <c r="F441"/>
      <c r="G441"/>
      <c r="H441"/>
      <c r="I441"/>
      <c r="J441"/>
      <c r="K441"/>
      <c r="L441"/>
      <c r="M441"/>
      <c r="N441"/>
      <c r="O441"/>
      <c r="P441"/>
      <c r="Q441"/>
      <c r="R441"/>
      <c r="S441"/>
    </row>
    <row r="442" spans="1:19">
      <c r="A442"/>
      <c r="B442"/>
      <c r="C442"/>
      <c r="D442"/>
      <c r="E442"/>
      <c r="F442"/>
      <c r="G442"/>
      <c r="H442"/>
      <c r="I442"/>
      <c r="J442"/>
      <c r="K442"/>
      <c r="L442"/>
      <c r="M442"/>
      <c r="N442"/>
      <c r="O442"/>
      <c r="P442"/>
      <c r="Q442"/>
      <c r="R442"/>
      <c r="S442"/>
    </row>
    <row r="443" spans="1:19">
      <c r="A443"/>
      <c r="B443"/>
      <c r="C443"/>
      <c r="D443"/>
      <c r="E443"/>
      <c r="F443"/>
      <c r="G443"/>
      <c r="H443"/>
      <c r="I443"/>
      <c r="J443"/>
      <c r="K443"/>
      <c r="L443"/>
      <c r="M443"/>
      <c r="N443"/>
      <c r="O443"/>
      <c r="P443"/>
      <c r="Q443"/>
      <c r="R443"/>
      <c r="S443"/>
    </row>
    <row r="444" spans="1:19">
      <c r="A444"/>
      <c r="B444"/>
      <c r="C444"/>
      <c r="D444"/>
      <c r="E444"/>
      <c r="F444"/>
      <c r="G444"/>
      <c r="H444"/>
      <c r="I444"/>
      <c r="J444"/>
      <c r="K444"/>
      <c r="L444"/>
      <c r="M444"/>
      <c r="N444"/>
      <c r="O444"/>
      <c r="P444"/>
      <c r="Q444"/>
      <c r="R444"/>
      <c r="S444"/>
    </row>
    <row r="445" spans="1:19">
      <c r="A445"/>
      <c r="B445"/>
      <c r="C445"/>
      <c r="D445"/>
      <c r="E445"/>
      <c r="F445"/>
      <c r="G445"/>
      <c r="H445"/>
      <c r="I445"/>
      <c r="J445"/>
      <c r="K445"/>
      <c r="L445"/>
      <c r="M445"/>
      <c r="N445"/>
      <c r="O445"/>
      <c r="P445"/>
      <c r="Q445"/>
      <c r="R445"/>
      <c r="S445"/>
    </row>
    <row r="446" spans="1:19">
      <c r="A446"/>
      <c r="B446"/>
      <c r="C446"/>
      <c r="D446"/>
      <c r="E446"/>
      <c r="F446"/>
      <c r="G446"/>
      <c r="H446"/>
      <c r="I446"/>
      <c r="J446"/>
      <c r="K446"/>
      <c r="L446"/>
      <c r="M446"/>
      <c r="N446"/>
      <c r="O446"/>
      <c r="P446"/>
      <c r="Q446"/>
      <c r="R446"/>
      <c r="S446"/>
    </row>
    <row r="447" spans="1:19">
      <c r="A447"/>
      <c r="B447"/>
      <c r="C447"/>
      <c r="D447"/>
      <c r="E447"/>
      <c r="F447"/>
      <c r="G447"/>
      <c r="H447"/>
      <c r="I447"/>
      <c r="J447"/>
      <c r="K447"/>
      <c r="L447"/>
      <c r="M447"/>
      <c r="N447"/>
      <c r="O447"/>
      <c r="P447"/>
      <c r="Q447"/>
      <c r="R447"/>
      <c r="S447"/>
    </row>
    <row r="448" spans="1:19">
      <c r="A448"/>
      <c r="B448"/>
      <c r="C448"/>
      <c r="D448"/>
      <c r="E448"/>
      <c r="F448"/>
      <c r="G448"/>
      <c r="H448"/>
      <c r="I448"/>
      <c r="J448"/>
      <c r="K448"/>
      <c r="L448"/>
      <c r="M448"/>
      <c r="N448"/>
      <c r="O448"/>
      <c r="P448"/>
      <c r="Q448"/>
      <c r="R448"/>
      <c r="S448"/>
    </row>
    <row r="449" spans="1:19">
      <c r="A449"/>
      <c r="B449"/>
      <c r="C449"/>
      <c r="D449"/>
      <c r="E449"/>
      <c r="F449"/>
      <c r="G449"/>
      <c r="H449"/>
      <c r="I449"/>
      <c r="J449"/>
      <c r="K449"/>
      <c r="L449"/>
      <c r="M449"/>
      <c r="N449"/>
      <c r="O449"/>
      <c r="P449"/>
      <c r="Q449"/>
      <c r="R449"/>
      <c r="S449"/>
    </row>
    <row r="450" spans="1:19">
      <c r="A450"/>
      <c r="B450"/>
      <c r="C450"/>
      <c r="D450"/>
      <c r="E450"/>
      <c r="F450"/>
      <c r="G450"/>
      <c r="H450"/>
      <c r="I450"/>
      <c r="J450"/>
      <c r="K450"/>
      <c r="L450"/>
      <c r="M450"/>
      <c r="N450"/>
      <c r="O450"/>
      <c r="P450"/>
      <c r="Q450"/>
      <c r="R450"/>
      <c r="S450"/>
    </row>
    <row r="451" spans="1:19">
      <c r="A451"/>
      <c r="B451"/>
      <c r="C451"/>
      <c r="D451"/>
      <c r="E451"/>
      <c r="F451"/>
      <c r="G451"/>
      <c r="H451"/>
      <c r="I451"/>
      <c r="J451"/>
      <c r="K451"/>
      <c r="L451"/>
      <c r="M451"/>
      <c r="N451"/>
      <c r="O451"/>
      <c r="P451"/>
      <c r="Q451"/>
      <c r="R451"/>
      <c r="S451"/>
    </row>
    <row r="452" spans="1:19">
      <c r="A452"/>
      <c r="B452"/>
      <c r="C452"/>
      <c r="D452"/>
      <c r="E452"/>
      <c r="F452"/>
      <c r="G452"/>
      <c r="H452"/>
      <c r="I452"/>
      <c r="J452"/>
      <c r="K452"/>
      <c r="L452"/>
      <c r="M452"/>
      <c r="N452"/>
      <c r="O452"/>
      <c r="P452"/>
      <c r="Q452"/>
      <c r="R452"/>
      <c r="S452"/>
    </row>
    <row r="453" spans="1:19">
      <c r="A453"/>
      <c r="B453"/>
      <c r="C453"/>
      <c r="D453"/>
      <c r="E453"/>
      <c r="F453"/>
      <c r="G453"/>
      <c r="H453"/>
      <c r="I453"/>
      <c r="J453"/>
      <c r="K453"/>
      <c r="L453"/>
      <c r="M453"/>
      <c r="N453"/>
      <c r="O453"/>
      <c r="P453"/>
      <c r="Q453"/>
      <c r="R453"/>
      <c r="S453"/>
    </row>
    <row r="454" spans="1:19">
      <c r="A454"/>
      <c r="B454"/>
      <c r="C454"/>
      <c r="D454"/>
      <c r="E454"/>
      <c r="F454"/>
      <c r="G454"/>
      <c r="H454"/>
      <c r="I454"/>
      <c r="J454"/>
      <c r="K454"/>
      <c r="L454"/>
      <c r="M454"/>
      <c r="N454"/>
      <c r="O454"/>
      <c r="P454"/>
      <c r="Q454"/>
      <c r="R454"/>
      <c r="S454"/>
    </row>
    <row r="455" spans="1:19">
      <c r="A455"/>
      <c r="B455"/>
      <c r="C455"/>
      <c r="D455"/>
      <c r="E455"/>
      <c r="F455"/>
      <c r="G455"/>
      <c r="H455"/>
      <c r="I455"/>
      <c r="J455"/>
      <c r="K455"/>
      <c r="L455"/>
      <c r="M455"/>
      <c r="N455"/>
      <c r="O455"/>
      <c r="P455"/>
      <c r="Q455"/>
      <c r="R455"/>
      <c r="S455"/>
    </row>
    <row r="456" spans="1:19">
      <c r="A456"/>
      <c r="B456"/>
      <c r="C456"/>
      <c r="D456"/>
      <c r="E456"/>
      <c r="F456"/>
      <c r="G456"/>
      <c r="H456"/>
      <c r="I456"/>
      <c r="J456"/>
      <c r="K456"/>
      <c r="L456"/>
      <c r="M456"/>
      <c r="N456"/>
      <c r="O456"/>
      <c r="P456"/>
      <c r="Q456"/>
      <c r="R456"/>
      <c r="S456"/>
    </row>
    <row r="457" spans="1:19">
      <c r="A457"/>
      <c r="B457"/>
      <c r="C457"/>
      <c r="D457"/>
      <c r="E457"/>
      <c r="F457"/>
      <c r="G457"/>
      <c r="H457"/>
      <c r="I457"/>
      <c r="J457"/>
      <c r="K457"/>
      <c r="L457"/>
      <c r="M457"/>
      <c r="N457"/>
      <c r="O457"/>
      <c r="P457"/>
      <c r="Q457"/>
      <c r="R457"/>
      <c r="S457"/>
    </row>
    <row r="458" spans="1:19">
      <c r="A458"/>
      <c r="B458"/>
      <c r="C458"/>
      <c r="D458"/>
      <c r="E458"/>
      <c r="F458"/>
      <c r="G458"/>
      <c r="H458"/>
      <c r="I458"/>
      <c r="J458"/>
      <c r="K458"/>
      <c r="L458"/>
      <c r="M458"/>
      <c r="N458"/>
      <c r="O458"/>
      <c r="P458"/>
      <c r="Q458"/>
      <c r="R458"/>
      <c r="S458"/>
    </row>
    <row r="459" spans="1:19">
      <c r="A459"/>
      <c r="B459"/>
      <c r="C459"/>
      <c r="D459"/>
      <c r="E459"/>
      <c r="F459"/>
      <c r="G459"/>
      <c r="H459"/>
      <c r="I459"/>
      <c r="J459"/>
      <c r="K459"/>
      <c r="L459"/>
      <c r="M459"/>
      <c r="N459"/>
      <c r="O459"/>
      <c r="P459"/>
      <c r="Q459"/>
      <c r="R459"/>
      <c r="S459"/>
    </row>
    <row r="460" spans="1:19">
      <c r="A460"/>
      <c r="B460"/>
      <c r="C460"/>
      <c r="D460"/>
      <c r="E460"/>
      <c r="F460"/>
      <c r="G460"/>
      <c r="H460"/>
      <c r="I460"/>
      <c r="J460"/>
      <c r="K460"/>
      <c r="L460"/>
      <c r="M460"/>
      <c r="N460"/>
      <c r="O460"/>
      <c r="P460"/>
      <c r="Q460"/>
      <c r="R460"/>
      <c r="S460"/>
    </row>
    <row r="461" spans="1:19">
      <c r="A461"/>
      <c r="B461"/>
      <c r="C461"/>
      <c r="D461"/>
      <c r="E461"/>
      <c r="F461"/>
      <c r="G461"/>
      <c r="H461"/>
      <c r="I461"/>
      <c r="J461"/>
      <c r="K461"/>
      <c r="L461"/>
      <c r="M461"/>
      <c r="N461"/>
      <c r="O461"/>
      <c r="P461"/>
      <c r="Q461"/>
      <c r="R461"/>
      <c r="S461"/>
    </row>
    <row r="462" spans="1:19">
      <c r="A462"/>
      <c r="B462"/>
      <c r="C462"/>
      <c r="D462"/>
      <c r="E462"/>
      <c r="F462"/>
      <c r="G462"/>
      <c r="H462"/>
      <c r="I462"/>
      <c r="J462"/>
      <c r="K462"/>
      <c r="L462"/>
      <c r="M462"/>
      <c r="N462"/>
      <c r="O462"/>
      <c r="P462"/>
      <c r="Q462"/>
      <c r="R462"/>
      <c r="S462"/>
    </row>
    <row r="463" spans="1:19">
      <c r="A463"/>
      <c r="B463"/>
      <c r="C463"/>
      <c r="D463"/>
      <c r="E463"/>
      <c r="F463"/>
      <c r="G463"/>
      <c r="H463"/>
      <c r="I463"/>
      <c r="J463"/>
      <c r="K463"/>
      <c r="L463"/>
      <c r="M463"/>
      <c r="N463"/>
      <c r="O463"/>
      <c r="P463"/>
      <c r="Q463"/>
      <c r="R463"/>
      <c r="S463"/>
    </row>
    <row r="464" spans="1:19">
      <c r="A464"/>
      <c r="B464"/>
      <c r="C464"/>
      <c r="D464"/>
      <c r="E464"/>
      <c r="F464"/>
      <c r="G464"/>
      <c r="H464"/>
      <c r="I464"/>
      <c r="J464"/>
      <c r="K464"/>
      <c r="L464"/>
      <c r="M464"/>
      <c r="N464"/>
      <c r="O464"/>
      <c r="P464"/>
      <c r="Q464"/>
      <c r="R464"/>
      <c r="S464"/>
    </row>
    <row r="465" spans="1:19">
      <c r="A465"/>
      <c r="B465"/>
      <c r="C465"/>
      <c r="D465"/>
      <c r="E465"/>
      <c r="F465"/>
      <c r="G465"/>
      <c r="H465"/>
      <c r="I465"/>
      <c r="J465"/>
      <c r="K465"/>
      <c r="L465"/>
      <c r="M465"/>
      <c r="N465"/>
      <c r="O465"/>
      <c r="P465"/>
      <c r="Q465"/>
      <c r="R465"/>
      <c r="S465"/>
    </row>
    <row r="466" spans="1:19">
      <c r="A466"/>
      <c r="B466"/>
      <c r="C466"/>
      <c r="D466"/>
      <c r="E466"/>
      <c r="F466"/>
      <c r="G466"/>
      <c r="H466"/>
      <c r="I466"/>
      <c r="J466"/>
      <c r="K466"/>
      <c r="L466"/>
      <c r="M466"/>
      <c r="N466"/>
      <c r="O466"/>
      <c r="P466"/>
      <c r="Q466"/>
      <c r="R466"/>
      <c r="S466"/>
    </row>
    <row r="467" spans="1:19">
      <c r="A467"/>
      <c r="B467"/>
      <c r="C467"/>
      <c r="D467"/>
      <c r="E467"/>
      <c r="F467"/>
      <c r="G467"/>
      <c r="H467"/>
      <c r="I467"/>
      <c r="J467"/>
      <c r="K467"/>
      <c r="L467"/>
      <c r="M467"/>
      <c r="N467"/>
      <c r="O467"/>
      <c r="P467"/>
      <c r="Q467"/>
      <c r="R467"/>
      <c r="S467"/>
    </row>
    <row r="468" spans="1:19">
      <c r="A468"/>
      <c r="B468"/>
      <c r="C468"/>
      <c r="D468"/>
      <c r="E468"/>
      <c r="F468"/>
      <c r="G468"/>
      <c r="H468"/>
      <c r="I468"/>
      <c r="J468"/>
      <c r="K468"/>
      <c r="L468"/>
      <c r="M468"/>
      <c r="N468"/>
      <c r="O468"/>
      <c r="P468"/>
      <c r="Q468"/>
      <c r="R468"/>
      <c r="S468"/>
    </row>
    <row r="469" spans="1:19">
      <c r="A469"/>
      <c r="B469"/>
      <c r="C469"/>
      <c r="D469"/>
      <c r="E469"/>
      <c r="F469"/>
      <c r="G469"/>
      <c r="H469"/>
      <c r="I469"/>
      <c r="J469"/>
      <c r="K469"/>
      <c r="L469"/>
      <c r="M469"/>
      <c r="N469"/>
      <c r="O469"/>
      <c r="P469"/>
      <c r="Q469"/>
      <c r="R469"/>
      <c r="S469"/>
    </row>
    <row r="470" spans="1:19">
      <c r="A470"/>
      <c r="B470"/>
      <c r="C470"/>
      <c r="D470"/>
      <c r="E470"/>
      <c r="F470"/>
      <c r="G470"/>
      <c r="H470"/>
      <c r="I470"/>
      <c r="J470"/>
      <c r="K470"/>
      <c r="L470"/>
      <c r="M470"/>
      <c r="N470"/>
      <c r="O470"/>
      <c r="P470"/>
      <c r="Q470"/>
      <c r="R470"/>
      <c r="S470"/>
    </row>
    <row r="471" spans="1:19">
      <c r="A471"/>
      <c r="B471"/>
      <c r="C471"/>
      <c r="D471"/>
      <c r="E471"/>
      <c r="F471"/>
      <c r="G471"/>
      <c r="H471"/>
      <c r="I471"/>
      <c r="J471"/>
      <c r="K471"/>
      <c r="L471"/>
      <c r="M471"/>
      <c r="N471"/>
      <c r="O471"/>
      <c r="P471"/>
      <c r="Q471"/>
      <c r="R471"/>
      <c r="S471"/>
    </row>
    <row r="472" spans="1:19">
      <c r="A472"/>
      <c r="B472"/>
      <c r="C472"/>
      <c r="D472"/>
      <c r="E472"/>
      <c r="F472"/>
      <c r="G472"/>
      <c r="H472"/>
      <c r="I472"/>
      <c r="J472"/>
      <c r="K472"/>
      <c r="L472"/>
      <c r="M472"/>
      <c r="N472"/>
      <c r="O472"/>
      <c r="P472"/>
      <c r="Q472"/>
      <c r="R472"/>
      <c r="S472"/>
    </row>
    <row r="473" spans="1:19">
      <c r="A473"/>
      <c r="B473"/>
      <c r="C473"/>
      <c r="D473"/>
      <c r="E473"/>
      <c r="F473"/>
      <c r="G473"/>
      <c r="H473"/>
      <c r="I473"/>
      <c r="J473"/>
      <c r="K473"/>
      <c r="L473"/>
      <c r="M473"/>
      <c r="N473"/>
      <c r="O473"/>
      <c r="P473"/>
      <c r="Q473"/>
      <c r="R473"/>
      <c r="S473"/>
    </row>
    <row r="474" spans="1:19">
      <c r="A474"/>
      <c r="B474"/>
      <c r="C474"/>
      <c r="D474"/>
      <c r="E474"/>
      <c r="F474"/>
      <c r="G474"/>
      <c r="H474"/>
      <c r="I474"/>
      <c r="J474"/>
      <c r="K474"/>
      <c r="L474"/>
      <c r="M474"/>
      <c r="N474"/>
      <c r="O474"/>
      <c r="P474"/>
      <c r="Q474"/>
      <c r="R474"/>
      <c r="S474"/>
    </row>
    <row r="475" spans="1:19">
      <c r="A475"/>
      <c r="B475"/>
      <c r="C475"/>
      <c r="D475"/>
      <c r="E475"/>
      <c r="F475"/>
      <c r="G475"/>
      <c r="H475"/>
      <c r="I475"/>
      <c r="J475"/>
      <c r="K475"/>
      <c r="L475"/>
      <c r="M475"/>
      <c r="N475"/>
      <c r="O475"/>
      <c r="P475"/>
      <c r="Q475"/>
      <c r="R475"/>
      <c r="S475"/>
    </row>
    <row r="476" spans="1:19">
      <c r="A476"/>
      <c r="B476"/>
      <c r="C476"/>
      <c r="D476"/>
      <c r="E476"/>
      <c r="F476"/>
      <c r="G476"/>
      <c r="H476"/>
      <c r="I476"/>
      <c r="J476"/>
      <c r="K476"/>
      <c r="L476"/>
      <c r="M476"/>
      <c r="N476"/>
      <c r="O476"/>
      <c r="P476"/>
      <c r="Q476"/>
      <c r="R476"/>
      <c r="S476"/>
    </row>
    <row r="477" spans="1:19">
      <c r="A477"/>
      <c r="B477"/>
      <c r="C477"/>
      <c r="D477"/>
      <c r="E477"/>
      <c r="F477"/>
      <c r="G477"/>
      <c r="H477"/>
      <c r="I477"/>
      <c r="J477"/>
      <c r="K477"/>
      <c r="L477"/>
      <c r="M477"/>
      <c r="N477"/>
      <c r="O477"/>
      <c r="P477"/>
      <c r="Q477"/>
      <c r="R477"/>
      <c r="S477"/>
    </row>
    <row r="478" spans="1:19">
      <c r="A478"/>
      <c r="B478"/>
      <c r="C478"/>
      <c r="D478"/>
      <c r="E478"/>
      <c r="F478"/>
      <c r="G478"/>
      <c r="H478"/>
      <c r="I478"/>
      <c r="J478"/>
      <c r="K478"/>
      <c r="L478"/>
      <c r="M478"/>
      <c r="N478"/>
      <c r="O478"/>
      <c r="P478"/>
      <c r="Q478"/>
      <c r="R478"/>
      <c r="S478"/>
    </row>
    <row r="479" spans="1:19">
      <c r="A479"/>
      <c r="B479"/>
      <c r="C479"/>
      <c r="D479"/>
      <c r="E479"/>
      <c r="F479"/>
      <c r="G479"/>
      <c r="H479"/>
      <c r="I479"/>
      <c r="J479"/>
      <c r="K479"/>
      <c r="L479"/>
      <c r="M479"/>
      <c r="N479"/>
      <c r="O479"/>
      <c r="P479"/>
      <c r="Q479"/>
      <c r="R479"/>
      <c r="S479"/>
    </row>
    <row r="480" spans="1:19">
      <c r="A480"/>
      <c r="B480"/>
      <c r="C480"/>
      <c r="D480"/>
      <c r="E480"/>
      <c r="F480"/>
      <c r="G480"/>
      <c r="H480"/>
      <c r="I480"/>
      <c r="J480"/>
      <c r="K480"/>
      <c r="L480"/>
      <c r="M480"/>
      <c r="N480"/>
      <c r="O480"/>
      <c r="P480"/>
      <c r="Q480"/>
      <c r="R480"/>
      <c r="S480"/>
    </row>
    <row r="481" spans="1:19">
      <c r="A481"/>
      <c r="B481"/>
      <c r="C481"/>
      <c r="D481"/>
      <c r="E481"/>
      <c r="F481"/>
      <c r="G481"/>
      <c r="H481"/>
      <c r="I481"/>
      <c r="J481"/>
      <c r="K481"/>
      <c r="L481"/>
      <c r="M481"/>
      <c r="N481"/>
      <c r="O481"/>
      <c r="P481"/>
      <c r="Q481"/>
      <c r="R481"/>
      <c r="S481"/>
    </row>
    <row r="482" spans="1:19">
      <c r="A482"/>
      <c r="B482"/>
      <c r="C482"/>
      <c r="D482"/>
      <c r="E482"/>
      <c r="F482"/>
      <c r="G482"/>
      <c r="H482"/>
      <c r="I482"/>
      <c r="J482"/>
      <c r="K482"/>
      <c r="L482"/>
      <c r="M482"/>
      <c r="N482"/>
      <c r="O482"/>
      <c r="P482"/>
      <c r="Q482"/>
      <c r="R482"/>
      <c r="S482"/>
    </row>
    <row r="483" spans="1:19">
      <c r="A483"/>
      <c r="B483"/>
      <c r="C483"/>
      <c r="D483"/>
      <c r="E483"/>
      <c r="F483"/>
      <c r="G483"/>
      <c r="H483"/>
      <c r="I483"/>
      <c r="J483"/>
      <c r="K483"/>
      <c r="L483"/>
      <c r="M483"/>
      <c r="N483"/>
      <c r="O483"/>
      <c r="P483"/>
      <c r="Q483"/>
      <c r="R483"/>
      <c r="S483"/>
    </row>
    <row r="484" spans="1:19">
      <c r="A484"/>
      <c r="B484"/>
      <c r="C484"/>
      <c r="D484"/>
      <c r="E484"/>
      <c r="F484"/>
      <c r="G484"/>
      <c r="H484"/>
      <c r="I484"/>
      <c r="J484"/>
      <c r="K484"/>
      <c r="L484"/>
      <c r="M484"/>
      <c r="N484"/>
      <c r="O484"/>
      <c r="P484"/>
      <c r="Q484"/>
      <c r="R484"/>
      <c r="S484"/>
    </row>
    <row r="485" spans="1:19">
      <c r="A485"/>
      <c r="B485"/>
      <c r="C485"/>
      <c r="D485"/>
      <c r="E485"/>
      <c r="F485"/>
      <c r="G485"/>
      <c r="H485"/>
      <c r="I485"/>
      <c r="J485"/>
      <c r="K485"/>
      <c r="L485"/>
      <c r="M485"/>
      <c r="N485"/>
      <c r="O485"/>
      <c r="P485"/>
      <c r="Q485"/>
      <c r="R485"/>
      <c r="S485"/>
    </row>
    <row r="486" spans="1:19">
      <c r="A486"/>
      <c r="B486"/>
      <c r="C486"/>
      <c r="D486"/>
      <c r="E486"/>
      <c r="F486"/>
      <c r="G486"/>
      <c r="H486"/>
      <c r="I486"/>
      <c r="J486"/>
      <c r="K486"/>
      <c r="L486"/>
      <c r="M486"/>
      <c r="N486"/>
      <c r="O486"/>
      <c r="P486"/>
      <c r="Q486"/>
      <c r="R486"/>
      <c r="S486"/>
    </row>
    <row r="487" spans="1:19">
      <c r="A487"/>
      <c r="B487"/>
      <c r="C487"/>
      <c r="D487"/>
      <c r="E487"/>
      <c r="F487"/>
      <c r="G487"/>
      <c r="H487"/>
      <c r="I487"/>
      <c r="J487"/>
      <c r="K487"/>
      <c r="L487"/>
      <c r="M487"/>
      <c r="N487"/>
      <c r="O487"/>
      <c r="P487"/>
      <c r="Q487"/>
      <c r="R487"/>
      <c r="S487"/>
    </row>
    <row r="488" spans="1:19">
      <c r="A488"/>
      <c r="B488"/>
      <c r="C488"/>
      <c r="D488"/>
      <c r="E488"/>
      <c r="F488"/>
      <c r="G488"/>
      <c r="H488"/>
      <c r="I488"/>
      <c r="J488"/>
      <c r="K488"/>
      <c r="L488"/>
      <c r="M488"/>
      <c r="N488"/>
      <c r="O488"/>
      <c r="P488"/>
      <c r="Q488"/>
      <c r="R488"/>
      <c r="S488"/>
    </row>
    <row r="489" spans="1:19">
      <c r="A489"/>
      <c r="B489"/>
      <c r="C489"/>
      <c r="D489"/>
      <c r="E489"/>
      <c r="F489"/>
      <c r="G489"/>
      <c r="H489"/>
      <c r="I489"/>
      <c r="J489"/>
      <c r="K489"/>
      <c r="L489"/>
      <c r="M489"/>
      <c r="N489"/>
      <c r="O489"/>
      <c r="P489"/>
      <c r="Q489"/>
      <c r="R489"/>
      <c r="S489"/>
    </row>
    <row r="490" spans="1:19">
      <c r="A490"/>
      <c r="B490"/>
      <c r="C490"/>
      <c r="D490"/>
      <c r="E490"/>
      <c r="F490"/>
      <c r="G490"/>
      <c r="H490"/>
      <c r="I490"/>
      <c r="J490"/>
      <c r="K490"/>
      <c r="L490"/>
      <c r="M490"/>
      <c r="N490"/>
      <c r="O490"/>
      <c r="P490"/>
      <c r="Q490"/>
      <c r="R490"/>
      <c r="S490"/>
    </row>
    <row r="491" spans="1:19">
      <c r="A491"/>
      <c r="B491"/>
      <c r="C491"/>
      <c r="D491"/>
      <c r="E491"/>
      <c r="F491"/>
      <c r="G491"/>
      <c r="H491"/>
      <c r="I491"/>
      <c r="J491"/>
      <c r="K491"/>
      <c r="L491"/>
      <c r="M491"/>
      <c r="N491"/>
      <c r="O491"/>
      <c r="P491"/>
      <c r="Q491"/>
      <c r="R491"/>
      <c r="S491"/>
    </row>
    <row r="492" spans="1:19">
      <c r="A492"/>
      <c r="B492"/>
      <c r="C492"/>
      <c r="D492"/>
      <c r="E492"/>
      <c r="F492"/>
      <c r="G492"/>
      <c r="H492"/>
      <c r="I492"/>
      <c r="J492"/>
      <c r="K492"/>
      <c r="L492"/>
      <c r="M492"/>
      <c r="N492"/>
      <c r="O492"/>
      <c r="P492"/>
      <c r="Q492"/>
      <c r="R492"/>
      <c r="S492"/>
    </row>
    <row r="493" spans="1:19">
      <c r="A493"/>
      <c r="B493"/>
      <c r="C493"/>
      <c r="D493"/>
      <c r="E493"/>
      <c r="F493"/>
      <c r="G493"/>
      <c r="H493"/>
      <c r="I493"/>
      <c r="J493"/>
      <c r="K493"/>
      <c r="L493"/>
      <c r="M493"/>
      <c r="N493"/>
      <c r="O493"/>
      <c r="P493"/>
      <c r="Q493"/>
      <c r="R493"/>
      <c r="S493"/>
    </row>
    <row r="494" spans="1:19">
      <c r="A494"/>
      <c r="B494"/>
      <c r="C494"/>
      <c r="D494"/>
      <c r="E494"/>
      <c r="F494"/>
      <c r="G494"/>
      <c r="H494"/>
      <c r="I494"/>
      <c r="J494"/>
      <c r="K494"/>
      <c r="L494"/>
      <c r="M494"/>
      <c r="N494"/>
      <c r="O494"/>
      <c r="P494"/>
      <c r="Q494"/>
      <c r="R494"/>
      <c r="S494"/>
    </row>
    <row r="495" spans="1:19">
      <c r="A495"/>
      <c r="B495"/>
      <c r="C495"/>
      <c r="D495"/>
      <c r="E495"/>
      <c r="F495"/>
      <c r="G495"/>
      <c r="H495"/>
      <c r="I495"/>
      <c r="J495"/>
      <c r="K495"/>
      <c r="L495"/>
      <c r="M495"/>
      <c r="N495"/>
      <c r="O495"/>
      <c r="P495"/>
      <c r="Q495"/>
      <c r="R495"/>
      <c r="S495"/>
    </row>
    <row r="496" spans="1:19">
      <c r="A496"/>
      <c r="B496"/>
      <c r="C496"/>
      <c r="D496"/>
      <c r="E496"/>
      <c r="F496"/>
      <c r="G496"/>
      <c r="H496"/>
      <c r="I496"/>
      <c r="J496"/>
      <c r="K496"/>
      <c r="L496"/>
      <c r="M496"/>
      <c r="N496"/>
      <c r="O496"/>
      <c r="P496"/>
      <c r="Q496"/>
      <c r="R496"/>
      <c r="S496"/>
    </row>
    <row r="497" spans="1:19">
      <c r="A497"/>
      <c r="B497"/>
      <c r="C497"/>
      <c r="D497"/>
      <c r="E497"/>
      <c r="F497"/>
      <c r="G497"/>
      <c r="H497"/>
      <c r="I497"/>
      <c r="J497"/>
      <c r="K497"/>
      <c r="L497"/>
      <c r="M497"/>
      <c r="N497"/>
      <c r="O497"/>
      <c r="P497"/>
      <c r="Q497"/>
      <c r="R497"/>
      <c r="S497"/>
    </row>
    <row r="498" spans="1:19">
      <c r="A498"/>
      <c r="B498"/>
      <c r="C498"/>
      <c r="D498"/>
      <c r="E498"/>
      <c r="F498"/>
      <c r="G498"/>
      <c r="H498"/>
      <c r="I498"/>
      <c r="J498"/>
      <c r="K498"/>
      <c r="L498"/>
      <c r="M498"/>
      <c r="N498"/>
      <c r="O498"/>
      <c r="P498"/>
      <c r="Q498"/>
      <c r="R498"/>
      <c r="S498"/>
    </row>
    <row r="499" spans="1:19">
      <c r="A499"/>
      <c r="B499"/>
      <c r="C499"/>
      <c r="D499"/>
      <c r="E499"/>
      <c r="F499"/>
      <c r="G499"/>
      <c r="H499"/>
      <c r="I499"/>
      <c r="J499"/>
      <c r="K499"/>
      <c r="L499"/>
      <c r="M499"/>
      <c r="N499"/>
      <c r="O499"/>
      <c r="P499"/>
      <c r="Q499"/>
      <c r="R499"/>
      <c r="S499"/>
    </row>
    <row r="500" spans="1:19">
      <c r="A500"/>
      <c r="B500"/>
      <c r="C500"/>
      <c r="D500"/>
      <c r="E500"/>
      <c r="F500"/>
      <c r="G500"/>
      <c r="H500"/>
      <c r="I500"/>
      <c r="J500"/>
      <c r="K500"/>
      <c r="L500"/>
      <c r="M500"/>
      <c r="N500"/>
      <c r="O500"/>
      <c r="P500"/>
      <c r="Q500"/>
      <c r="R500"/>
      <c r="S500"/>
    </row>
    <row r="501" spans="1:19">
      <c r="A501"/>
      <c r="B501"/>
      <c r="C501"/>
      <c r="D501"/>
      <c r="E501"/>
      <c r="F501"/>
      <c r="G501"/>
      <c r="H501"/>
      <c r="I501"/>
      <c r="J501"/>
      <c r="K501"/>
      <c r="L501"/>
      <c r="M501"/>
      <c r="N501"/>
      <c r="O501"/>
      <c r="P501"/>
      <c r="Q501"/>
      <c r="R501"/>
      <c r="S501"/>
    </row>
    <row r="502" spans="1:19">
      <c r="A502"/>
      <c r="B502"/>
      <c r="C502"/>
      <c r="D502"/>
      <c r="E502"/>
      <c r="F502"/>
      <c r="G502"/>
      <c r="H502"/>
      <c r="I502"/>
      <c r="J502"/>
      <c r="K502"/>
      <c r="L502"/>
      <c r="M502"/>
      <c r="N502"/>
      <c r="O502"/>
      <c r="P502"/>
      <c r="Q502"/>
      <c r="R502"/>
      <c r="S502"/>
    </row>
    <row r="503" spans="1:19">
      <c r="A503"/>
      <c r="B503"/>
      <c r="C503"/>
      <c r="D503"/>
      <c r="E503"/>
      <c r="F503"/>
      <c r="G503"/>
      <c r="H503"/>
      <c r="I503"/>
      <c r="J503"/>
      <c r="K503"/>
      <c r="L503"/>
      <c r="M503"/>
      <c r="N503"/>
      <c r="O503"/>
      <c r="P503"/>
      <c r="Q503"/>
      <c r="R503"/>
      <c r="S503"/>
    </row>
    <row r="504" spans="1:19">
      <c r="A504"/>
      <c r="B504"/>
      <c r="C504"/>
      <c r="D504"/>
      <c r="E504"/>
      <c r="F504"/>
      <c r="G504"/>
      <c r="H504"/>
      <c r="I504"/>
      <c r="J504"/>
      <c r="K504"/>
      <c r="L504"/>
      <c r="M504"/>
      <c r="N504"/>
      <c r="O504"/>
      <c r="P504"/>
      <c r="Q504"/>
      <c r="R504"/>
      <c r="S504"/>
    </row>
    <row r="505" spans="1:19">
      <c r="A505"/>
      <c r="B505"/>
      <c r="C505"/>
      <c r="D505"/>
      <c r="E505"/>
      <c r="F505"/>
      <c r="G505"/>
      <c r="H505"/>
      <c r="I505"/>
      <c r="J505"/>
      <c r="K505"/>
      <c r="L505"/>
      <c r="M505"/>
      <c r="N505"/>
      <c r="O505"/>
      <c r="P505"/>
      <c r="Q505"/>
      <c r="R505"/>
      <c r="S505"/>
    </row>
    <row r="506" spans="1:19">
      <c r="A506"/>
      <c r="B506"/>
      <c r="C506"/>
      <c r="D506"/>
      <c r="E506"/>
      <c r="F506"/>
      <c r="G506"/>
      <c r="H506"/>
      <c r="I506"/>
      <c r="J506"/>
      <c r="K506"/>
      <c r="L506"/>
      <c r="M506"/>
      <c r="N506"/>
      <c r="O506"/>
      <c r="P506"/>
      <c r="Q506"/>
      <c r="R506"/>
      <c r="S506"/>
    </row>
    <row r="507" spans="1:19">
      <c r="A507"/>
      <c r="B507"/>
      <c r="C507"/>
      <c r="D507"/>
      <c r="E507"/>
      <c r="F507"/>
      <c r="G507"/>
      <c r="H507"/>
      <c r="I507"/>
      <c r="J507"/>
      <c r="K507"/>
      <c r="L507"/>
      <c r="M507"/>
      <c r="N507"/>
      <c r="O507"/>
      <c r="P507"/>
      <c r="Q507"/>
      <c r="R507"/>
      <c r="S507"/>
    </row>
    <row r="508" spans="1:19">
      <c r="A508"/>
      <c r="B508"/>
      <c r="C508"/>
      <c r="D508"/>
      <c r="E508"/>
      <c r="F508"/>
      <c r="G508"/>
      <c r="H508"/>
      <c r="I508"/>
      <c r="J508"/>
      <c r="K508"/>
      <c r="L508"/>
      <c r="M508"/>
      <c r="N508"/>
      <c r="O508"/>
      <c r="P508"/>
      <c r="Q508"/>
      <c r="R508"/>
      <c r="S508"/>
    </row>
    <row r="509" spans="1:19">
      <c r="A509"/>
      <c r="B509"/>
      <c r="C509"/>
      <c r="D509"/>
      <c r="E509"/>
      <c r="F509"/>
      <c r="G509"/>
      <c r="H509"/>
      <c r="I509"/>
      <c r="J509"/>
      <c r="K509"/>
      <c r="L509"/>
      <c r="M509"/>
      <c r="N509"/>
      <c r="O509"/>
      <c r="P509"/>
      <c r="Q509"/>
      <c r="R509"/>
      <c r="S509"/>
    </row>
    <row r="510" spans="1:19">
      <c r="A510"/>
      <c r="B510"/>
      <c r="C510"/>
      <c r="D510"/>
      <c r="E510"/>
      <c r="F510"/>
      <c r="G510"/>
      <c r="H510"/>
      <c r="I510"/>
      <c r="J510"/>
      <c r="K510"/>
      <c r="L510"/>
      <c r="M510"/>
      <c r="N510"/>
      <c r="O510"/>
      <c r="P510"/>
      <c r="Q510"/>
      <c r="R510"/>
      <c r="S510"/>
    </row>
    <row r="511" spans="1:19">
      <c r="A511"/>
      <c r="B511"/>
      <c r="C511"/>
      <c r="D511"/>
      <c r="E511"/>
      <c r="F511"/>
      <c r="G511"/>
      <c r="H511"/>
      <c r="I511"/>
      <c r="J511"/>
      <c r="K511"/>
      <c r="L511"/>
      <c r="M511"/>
      <c r="N511"/>
      <c r="O511"/>
      <c r="P511"/>
      <c r="Q511"/>
      <c r="R511"/>
      <c r="S511"/>
    </row>
    <row r="512" spans="1:19">
      <c r="A512"/>
      <c r="B512"/>
      <c r="C512"/>
      <c r="D512"/>
      <c r="E512"/>
      <c r="F512"/>
      <c r="G512"/>
      <c r="H512"/>
      <c r="I512"/>
      <c r="J512"/>
      <c r="K512"/>
      <c r="L512"/>
      <c r="M512"/>
      <c r="N512"/>
      <c r="O512"/>
      <c r="P512"/>
      <c r="Q512"/>
      <c r="R512"/>
      <c r="S512"/>
    </row>
    <row r="513" spans="1:19">
      <c r="A513"/>
      <c r="B513"/>
      <c r="C513"/>
      <c r="D513"/>
      <c r="E513"/>
      <c r="F513"/>
      <c r="G513"/>
      <c r="H513"/>
      <c r="I513"/>
      <c r="J513"/>
      <c r="K513"/>
      <c r="L513"/>
      <c r="M513"/>
      <c r="N513"/>
      <c r="O513"/>
      <c r="P513"/>
      <c r="Q513"/>
      <c r="R513"/>
      <c r="S513"/>
    </row>
    <row r="514" spans="1:19">
      <c r="A514"/>
      <c r="B514"/>
      <c r="C514"/>
      <c r="D514"/>
      <c r="E514"/>
      <c r="F514"/>
      <c r="G514"/>
      <c r="H514"/>
      <c r="I514"/>
      <c r="J514"/>
      <c r="K514"/>
      <c r="L514"/>
      <c r="M514"/>
      <c r="N514"/>
      <c r="O514"/>
      <c r="P514"/>
      <c r="Q514"/>
      <c r="R514"/>
      <c r="S514"/>
    </row>
    <row r="515" spans="1:19">
      <c r="A515"/>
      <c r="B515"/>
      <c r="C515"/>
      <c r="D515"/>
      <c r="E515"/>
      <c r="F515"/>
      <c r="G515"/>
      <c r="H515"/>
      <c r="I515"/>
      <c r="J515"/>
      <c r="K515"/>
      <c r="L515"/>
      <c r="M515"/>
      <c r="N515"/>
      <c r="O515"/>
      <c r="P515"/>
      <c r="Q515"/>
      <c r="R515"/>
      <c r="S515"/>
    </row>
    <row r="516" spans="1:19">
      <c r="A516"/>
      <c r="B516"/>
      <c r="C516"/>
      <c r="D516"/>
      <c r="E516"/>
      <c r="F516"/>
      <c r="G516"/>
      <c r="H516"/>
      <c r="I516"/>
      <c r="J516"/>
      <c r="K516"/>
      <c r="L516"/>
      <c r="M516"/>
      <c r="N516"/>
      <c r="O516"/>
      <c r="P516"/>
      <c r="Q516"/>
      <c r="R516"/>
      <c r="S516"/>
    </row>
    <row r="517" spans="1:19">
      <c r="A517"/>
      <c r="B517"/>
      <c r="C517"/>
      <c r="D517"/>
      <c r="E517"/>
      <c r="F517"/>
      <c r="G517"/>
      <c r="H517"/>
      <c r="I517"/>
      <c r="J517"/>
      <c r="K517"/>
      <c r="L517"/>
      <c r="M517"/>
      <c r="N517"/>
      <c r="O517"/>
      <c r="P517"/>
      <c r="Q517"/>
      <c r="R517"/>
      <c r="S517"/>
    </row>
    <row r="518" spans="1:19">
      <c r="A518"/>
      <c r="B518"/>
      <c r="C518"/>
      <c r="D518"/>
      <c r="E518"/>
      <c r="F518"/>
      <c r="G518"/>
      <c r="H518"/>
      <c r="I518"/>
      <c r="J518"/>
      <c r="K518"/>
      <c r="L518"/>
      <c r="M518"/>
      <c r="N518"/>
      <c r="O518"/>
      <c r="P518"/>
      <c r="Q518"/>
      <c r="R518"/>
      <c r="S518"/>
    </row>
    <row r="519" spans="1:19">
      <c r="A519"/>
      <c r="B519"/>
      <c r="C519"/>
      <c r="D519"/>
      <c r="E519"/>
      <c r="F519"/>
      <c r="G519"/>
      <c r="H519"/>
      <c r="I519"/>
      <c r="J519"/>
      <c r="K519"/>
      <c r="L519"/>
      <c r="M519"/>
      <c r="N519"/>
      <c r="O519"/>
      <c r="P519"/>
      <c r="Q519"/>
      <c r="R519"/>
      <c r="S519"/>
    </row>
    <row r="520" spans="1:19">
      <c r="A520"/>
      <c r="B520"/>
      <c r="C520"/>
      <c r="D520"/>
      <c r="E520"/>
      <c r="F520"/>
      <c r="G520"/>
      <c r="H520"/>
      <c r="I520"/>
      <c r="J520"/>
      <c r="K520"/>
      <c r="L520"/>
      <c r="M520"/>
      <c r="N520"/>
      <c r="O520"/>
      <c r="P520"/>
      <c r="Q520"/>
      <c r="R520"/>
      <c r="S520"/>
    </row>
    <row r="521" spans="1:19">
      <c r="A521"/>
      <c r="B521"/>
      <c r="C521"/>
      <c r="D521"/>
      <c r="E521"/>
      <c r="F521"/>
      <c r="G521"/>
      <c r="H521"/>
      <c r="I521"/>
      <c r="J521"/>
      <c r="K521"/>
      <c r="L521"/>
      <c r="M521"/>
      <c r="N521"/>
      <c r="O521"/>
      <c r="P521"/>
      <c r="Q521"/>
      <c r="R521"/>
      <c r="S521"/>
    </row>
    <row r="522" spans="1:19">
      <c r="A522"/>
      <c r="B522"/>
      <c r="C522"/>
      <c r="D522"/>
      <c r="E522"/>
      <c r="F522"/>
      <c r="G522"/>
      <c r="H522"/>
      <c r="I522"/>
      <c r="J522"/>
      <c r="K522"/>
      <c r="L522"/>
      <c r="M522"/>
      <c r="N522"/>
      <c r="O522"/>
      <c r="P522"/>
      <c r="Q522"/>
      <c r="R522"/>
      <c r="S522"/>
    </row>
    <row r="523" spans="1:19">
      <c r="A523"/>
      <c r="B523"/>
      <c r="C523"/>
      <c r="D523"/>
      <c r="E523"/>
      <c r="F523"/>
      <c r="G523"/>
      <c r="H523"/>
      <c r="I523"/>
      <c r="J523"/>
      <c r="K523"/>
      <c r="L523"/>
      <c r="M523"/>
      <c r="N523"/>
      <c r="O523"/>
      <c r="P523"/>
      <c r="Q523"/>
      <c r="R523"/>
      <c r="S523"/>
    </row>
    <row r="524" spans="1:19">
      <c r="A524"/>
      <c r="B524"/>
      <c r="C524"/>
      <c r="D524"/>
      <c r="E524"/>
      <c r="F524"/>
      <c r="G524"/>
      <c r="H524"/>
      <c r="I524"/>
      <c r="J524"/>
      <c r="K524"/>
      <c r="L524"/>
      <c r="M524"/>
      <c r="N524"/>
      <c r="O524"/>
      <c r="P524"/>
      <c r="Q524"/>
      <c r="R524"/>
      <c r="S524"/>
    </row>
    <row r="525" spans="1:19">
      <c r="A525"/>
      <c r="B525"/>
      <c r="C525"/>
      <c r="D525"/>
      <c r="E525"/>
      <c r="F525"/>
      <c r="G525"/>
      <c r="H525"/>
      <c r="I525"/>
      <c r="J525"/>
      <c r="K525"/>
      <c r="L525"/>
      <c r="M525"/>
      <c r="N525"/>
      <c r="O525"/>
      <c r="P525"/>
      <c r="Q525"/>
      <c r="R525"/>
      <c r="S525"/>
    </row>
    <row r="526" spans="1:19">
      <c r="A526"/>
      <c r="B526"/>
      <c r="C526"/>
      <c r="D526"/>
      <c r="E526"/>
      <c r="F526"/>
      <c r="G526"/>
      <c r="H526"/>
      <c r="I526"/>
      <c r="J526"/>
      <c r="K526"/>
      <c r="L526"/>
      <c r="M526"/>
      <c r="N526"/>
      <c r="O526"/>
      <c r="P526"/>
      <c r="Q526"/>
      <c r="R526"/>
      <c r="S526"/>
    </row>
    <row r="527" spans="1:19">
      <c r="A527"/>
      <c r="B527"/>
      <c r="C527"/>
      <c r="D527"/>
      <c r="E527"/>
      <c r="F527"/>
      <c r="G527"/>
      <c r="H527"/>
      <c r="I527"/>
      <c r="J527"/>
      <c r="K527"/>
      <c r="L527"/>
      <c r="M527"/>
      <c r="N527"/>
      <c r="O527"/>
      <c r="P527"/>
      <c r="Q527"/>
      <c r="R527"/>
      <c r="S527"/>
    </row>
    <row r="528" spans="1:19">
      <c r="A528"/>
      <c r="B528"/>
      <c r="C528"/>
      <c r="D528"/>
      <c r="E528"/>
      <c r="F528"/>
      <c r="G528"/>
      <c r="H528"/>
      <c r="I528"/>
      <c r="J528"/>
      <c r="K528"/>
      <c r="L528"/>
      <c r="M528"/>
      <c r="N528"/>
      <c r="O528"/>
      <c r="P528"/>
      <c r="Q528"/>
      <c r="R528"/>
      <c r="S528"/>
    </row>
    <row r="529" spans="1:19">
      <c r="A529"/>
      <c r="B529"/>
      <c r="C529"/>
      <c r="D529"/>
      <c r="E529"/>
      <c r="F529"/>
      <c r="G529"/>
      <c r="H529"/>
      <c r="I529"/>
      <c r="J529"/>
      <c r="K529"/>
      <c r="L529"/>
      <c r="M529"/>
      <c r="N529"/>
      <c r="O529"/>
      <c r="P529"/>
      <c r="Q529"/>
      <c r="R529"/>
      <c r="S529"/>
    </row>
    <row r="530" spans="1:19">
      <c r="A530"/>
      <c r="B530"/>
      <c r="C530"/>
      <c r="D530"/>
      <c r="E530"/>
      <c r="F530"/>
      <c r="G530"/>
      <c r="H530"/>
      <c r="I530"/>
      <c r="J530"/>
      <c r="K530"/>
      <c r="L530"/>
      <c r="M530"/>
      <c r="N530"/>
      <c r="O530"/>
      <c r="P530"/>
      <c r="Q530"/>
      <c r="R530"/>
      <c r="S530"/>
    </row>
    <row r="531" spans="1:19">
      <c r="A531"/>
      <c r="B531"/>
      <c r="C531"/>
      <c r="D531"/>
      <c r="E531"/>
      <c r="F531"/>
      <c r="G531"/>
      <c r="H531"/>
      <c r="I531"/>
      <c r="J531"/>
      <c r="K531"/>
      <c r="L531"/>
      <c r="M531"/>
      <c r="N531"/>
      <c r="O531"/>
      <c r="P531"/>
      <c r="Q531"/>
      <c r="R531"/>
      <c r="S531"/>
    </row>
    <row r="532" spans="1:19">
      <c r="A532"/>
      <c r="B532"/>
      <c r="C532"/>
      <c r="D532"/>
      <c r="E532"/>
      <c r="F532"/>
      <c r="G532"/>
      <c r="H532"/>
      <c r="I532"/>
      <c r="J532"/>
      <c r="K532"/>
      <c r="L532"/>
      <c r="M532"/>
      <c r="N532"/>
      <c r="O532"/>
      <c r="P532"/>
      <c r="Q532"/>
      <c r="R532"/>
      <c r="S532"/>
    </row>
    <row r="533" spans="1:19">
      <c r="A533"/>
      <c r="B533"/>
      <c r="C533"/>
      <c r="D533"/>
      <c r="E533"/>
      <c r="F533"/>
      <c r="G533"/>
      <c r="H533"/>
      <c r="I533"/>
      <c r="J533"/>
      <c r="K533"/>
      <c r="L533"/>
      <c r="M533"/>
      <c r="N533"/>
      <c r="O533"/>
      <c r="P533"/>
      <c r="Q533"/>
      <c r="R533"/>
      <c r="S533"/>
    </row>
    <row r="534" spans="1:19">
      <c r="A534"/>
      <c r="B534"/>
      <c r="C534"/>
      <c r="D534"/>
      <c r="E534"/>
      <c r="F534"/>
      <c r="G534"/>
      <c r="H534"/>
      <c r="I534"/>
      <c r="J534"/>
      <c r="K534"/>
      <c r="L534"/>
      <c r="M534"/>
      <c r="N534"/>
      <c r="O534"/>
      <c r="P534"/>
      <c r="Q534"/>
      <c r="R534"/>
      <c r="S534"/>
    </row>
    <row r="535" spans="1:19">
      <c r="A535"/>
      <c r="B535"/>
      <c r="C535"/>
      <c r="D535"/>
      <c r="E535"/>
      <c r="F535"/>
      <c r="G535"/>
      <c r="H535"/>
      <c r="I535"/>
      <c r="J535"/>
      <c r="K535"/>
      <c r="L535"/>
      <c r="M535"/>
      <c r="N535"/>
      <c r="O535"/>
      <c r="P535"/>
      <c r="Q535"/>
      <c r="R535"/>
      <c r="S535"/>
    </row>
    <row r="536" spans="1:19">
      <c r="A536"/>
      <c r="B536"/>
      <c r="C536"/>
      <c r="D536"/>
      <c r="E536"/>
      <c r="F536"/>
      <c r="G536"/>
      <c r="H536"/>
      <c r="I536"/>
      <c r="J536"/>
      <c r="K536"/>
      <c r="L536"/>
      <c r="M536"/>
      <c r="N536"/>
      <c r="O536"/>
      <c r="P536"/>
      <c r="Q536"/>
      <c r="R536"/>
      <c r="S536"/>
    </row>
    <row r="537" spans="1:19">
      <c r="A537"/>
      <c r="B537"/>
      <c r="C537"/>
      <c r="D537"/>
      <c r="E537"/>
      <c r="F537"/>
      <c r="G537"/>
      <c r="H537"/>
      <c r="I537"/>
      <c r="J537"/>
      <c r="K537"/>
      <c r="L537"/>
      <c r="M537"/>
      <c r="N537"/>
      <c r="O537"/>
      <c r="P537"/>
      <c r="Q537"/>
      <c r="R537"/>
      <c r="S537"/>
    </row>
    <row r="538" spans="1:19">
      <c r="A538"/>
      <c r="B538"/>
      <c r="C538"/>
      <c r="D538"/>
      <c r="E538"/>
      <c r="F538"/>
      <c r="G538"/>
      <c r="H538"/>
      <c r="I538"/>
      <c r="J538"/>
      <c r="K538"/>
      <c r="L538"/>
      <c r="M538"/>
      <c r="N538"/>
      <c r="O538"/>
      <c r="P538"/>
      <c r="Q538"/>
      <c r="R538"/>
      <c r="S538"/>
    </row>
    <row r="539" spans="1:19">
      <c r="A539"/>
      <c r="B539"/>
      <c r="C539"/>
      <c r="D539"/>
      <c r="E539"/>
      <c r="F539"/>
      <c r="G539"/>
      <c r="H539"/>
      <c r="I539"/>
      <c r="J539"/>
      <c r="K539"/>
      <c r="L539"/>
      <c r="M539"/>
      <c r="N539"/>
      <c r="O539"/>
      <c r="P539"/>
      <c r="Q539"/>
      <c r="R539"/>
      <c r="S539"/>
    </row>
    <row r="540" spans="1:19">
      <c r="A540"/>
      <c r="B540"/>
      <c r="C540"/>
      <c r="D540"/>
      <c r="E540"/>
      <c r="F540"/>
      <c r="G540"/>
      <c r="H540"/>
      <c r="I540"/>
      <c r="J540"/>
      <c r="K540"/>
      <c r="L540"/>
      <c r="M540"/>
      <c r="N540"/>
      <c r="O540"/>
      <c r="P540"/>
      <c r="Q540"/>
      <c r="R540"/>
      <c r="S540"/>
    </row>
    <row r="541" spans="1:19">
      <c r="A541"/>
      <c r="B541"/>
      <c r="C541"/>
      <c r="D541"/>
      <c r="E541"/>
      <c r="F541"/>
      <c r="G541"/>
      <c r="H541"/>
      <c r="I541"/>
      <c r="J541"/>
      <c r="K541"/>
      <c r="L541"/>
      <c r="M541"/>
      <c r="N541"/>
      <c r="O541"/>
      <c r="P541"/>
      <c r="Q541"/>
      <c r="R541"/>
      <c r="S541"/>
    </row>
    <row r="542" spans="1:19">
      <c r="A542"/>
      <c r="B542"/>
      <c r="C542"/>
      <c r="D542"/>
      <c r="E542"/>
      <c r="F542"/>
      <c r="G542"/>
      <c r="H542"/>
      <c r="I542"/>
      <c r="J542"/>
      <c r="K542"/>
      <c r="L542"/>
      <c r="M542"/>
      <c r="N542"/>
      <c r="O542"/>
      <c r="P542"/>
      <c r="Q542"/>
      <c r="R542"/>
      <c r="S542"/>
    </row>
    <row r="543" spans="1:19">
      <c r="A543"/>
      <c r="B543"/>
      <c r="C543"/>
      <c r="D543"/>
      <c r="E543"/>
      <c r="F543"/>
      <c r="G543"/>
      <c r="H543"/>
      <c r="I543"/>
      <c r="J543"/>
      <c r="K543"/>
      <c r="L543"/>
      <c r="M543"/>
      <c r="N543"/>
      <c r="O543"/>
      <c r="P543"/>
      <c r="Q543"/>
      <c r="R543"/>
      <c r="S543"/>
    </row>
    <row r="544" spans="1:19">
      <c r="A544"/>
      <c r="B544"/>
      <c r="C544"/>
      <c r="D544"/>
      <c r="E544"/>
      <c r="F544"/>
      <c r="G544"/>
      <c r="H544"/>
      <c r="I544"/>
      <c r="J544"/>
      <c r="K544"/>
      <c r="L544"/>
      <c r="M544"/>
      <c r="N544"/>
      <c r="O544"/>
      <c r="P544"/>
      <c r="Q544"/>
      <c r="R544"/>
      <c r="S544"/>
    </row>
    <row r="545" spans="1:19">
      <c r="A545"/>
      <c r="B545"/>
      <c r="C545"/>
      <c r="D545"/>
      <c r="E545"/>
      <c r="F545"/>
      <c r="G545"/>
      <c r="H545"/>
      <c r="I545"/>
      <c r="J545"/>
      <c r="K545"/>
      <c r="L545"/>
      <c r="M545"/>
      <c r="N545"/>
      <c r="O545"/>
      <c r="P545"/>
      <c r="Q545"/>
      <c r="R545"/>
      <c r="S545"/>
    </row>
    <row r="546" spans="1:19">
      <c r="A546"/>
      <c r="B546"/>
      <c r="C546"/>
      <c r="D546"/>
      <c r="E546"/>
      <c r="F546"/>
      <c r="G546"/>
      <c r="H546"/>
      <c r="I546"/>
      <c r="J546"/>
      <c r="K546"/>
      <c r="L546"/>
      <c r="M546"/>
      <c r="N546"/>
      <c r="O546"/>
      <c r="P546"/>
      <c r="Q546"/>
      <c r="R546"/>
      <c r="S546"/>
    </row>
    <row r="547" spans="1:19">
      <c r="A547"/>
      <c r="B547"/>
      <c r="C547"/>
      <c r="D547"/>
      <c r="E547"/>
      <c r="F547"/>
      <c r="G547"/>
      <c r="H547"/>
      <c r="I547"/>
      <c r="J547"/>
      <c r="K547"/>
      <c r="L547"/>
      <c r="M547"/>
      <c r="N547"/>
      <c r="O547"/>
      <c r="P547"/>
      <c r="Q547"/>
      <c r="R547"/>
      <c r="S547"/>
    </row>
    <row r="548" spans="1:19">
      <c r="A548"/>
      <c r="B548"/>
      <c r="C548"/>
      <c r="D548"/>
      <c r="E548"/>
      <c r="F548"/>
      <c r="G548"/>
      <c r="H548"/>
      <c r="I548"/>
      <c r="J548"/>
      <c r="K548"/>
      <c r="L548"/>
      <c r="M548"/>
      <c r="N548"/>
      <c r="O548"/>
      <c r="P548"/>
      <c r="Q548"/>
      <c r="R548"/>
      <c r="S548"/>
    </row>
    <row r="549" spans="1:19">
      <c r="A549"/>
      <c r="B549"/>
      <c r="C549"/>
      <c r="D549"/>
      <c r="E549"/>
      <c r="F549"/>
      <c r="G549"/>
      <c r="H549"/>
      <c r="I549"/>
      <c r="J549"/>
      <c r="K549"/>
      <c r="L549"/>
      <c r="M549"/>
      <c r="N549"/>
      <c r="O549"/>
      <c r="P549"/>
      <c r="Q549"/>
      <c r="R549"/>
      <c r="S549"/>
    </row>
    <row r="550" spans="1:19">
      <c r="A550"/>
      <c r="B550"/>
      <c r="C550"/>
      <c r="D550"/>
      <c r="E550"/>
      <c r="F550"/>
      <c r="G550"/>
      <c r="H550"/>
      <c r="I550"/>
      <c r="J550"/>
      <c r="K550"/>
      <c r="L550"/>
      <c r="M550"/>
      <c r="N550"/>
      <c r="O550"/>
      <c r="P550"/>
      <c r="Q550"/>
      <c r="R550"/>
      <c r="S550"/>
    </row>
    <row r="551" spans="1:19">
      <c r="A551"/>
      <c r="B551"/>
      <c r="C551"/>
      <c r="D551"/>
      <c r="E551"/>
      <c r="F551"/>
      <c r="G551"/>
      <c r="H551"/>
      <c r="I551"/>
      <c r="J551"/>
      <c r="K551"/>
      <c r="L551"/>
      <c r="M551"/>
      <c r="N551"/>
      <c r="O551"/>
      <c r="P551"/>
      <c r="Q551"/>
      <c r="R551"/>
      <c r="S551"/>
    </row>
    <row r="552" spans="1:19">
      <c r="A552"/>
      <c r="B552"/>
      <c r="C552"/>
      <c r="D552"/>
      <c r="E552"/>
      <c r="F552"/>
      <c r="G552"/>
      <c r="H552"/>
      <c r="I552"/>
      <c r="J552"/>
      <c r="K552"/>
      <c r="L552"/>
      <c r="M552"/>
      <c r="N552"/>
      <c r="O552"/>
      <c r="P552"/>
      <c r="Q552"/>
      <c r="R552"/>
      <c r="S552"/>
    </row>
    <row r="553" spans="1:19">
      <c r="A553"/>
      <c r="B553"/>
      <c r="C553"/>
      <c r="D553"/>
      <c r="E553"/>
      <c r="F553"/>
      <c r="G553"/>
      <c r="H553"/>
      <c r="I553"/>
      <c r="J553"/>
      <c r="K553"/>
      <c r="L553"/>
      <c r="M553"/>
      <c r="N553"/>
      <c r="O553"/>
      <c r="P553"/>
      <c r="Q553"/>
      <c r="R553"/>
      <c r="S553"/>
    </row>
    <row r="554" spans="1:19">
      <c r="A554"/>
      <c r="B554"/>
      <c r="C554"/>
      <c r="D554"/>
      <c r="E554"/>
      <c r="F554"/>
      <c r="G554"/>
      <c r="H554"/>
      <c r="I554"/>
      <c r="J554"/>
      <c r="K554"/>
      <c r="L554"/>
      <c r="M554"/>
      <c r="N554"/>
      <c r="O554"/>
      <c r="P554"/>
      <c r="Q554"/>
      <c r="R554"/>
      <c r="S554"/>
    </row>
    <row r="555" spans="1:19">
      <c r="A555"/>
      <c r="B555"/>
      <c r="C555"/>
      <c r="D555"/>
      <c r="E555"/>
      <c r="F555"/>
      <c r="G555"/>
      <c r="H555"/>
      <c r="I555"/>
      <c r="J555"/>
      <c r="K555"/>
      <c r="L555"/>
      <c r="M555"/>
      <c r="N555"/>
      <c r="O555"/>
      <c r="P555"/>
      <c r="Q555"/>
      <c r="R555"/>
      <c r="S555"/>
    </row>
    <row r="556" spans="1:19">
      <c r="A556"/>
      <c r="B556"/>
      <c r="C556"/>
      <c r="D556"/>
      <c r="E556"/>
      <c r="F556"/>
      <c r="G556"/>
      <c r="H556"/>
      <c r="I556"/>
      <c r="J556"/>
      <c r="K556"/>
      <c r="L556"/>
      <c r="M556"/>
      <c r="N556"/>
      <c r="O556"/>
      <c r="P556"/>
      <c r="Q556"/>
      <c r="R556"/>
      <c r="S556"/>
    </row>
    <row r="557" spans="1:19">
      <c r="A557"/>
      <c r="B557"/>
      <c r="C557"/>
      <c r="D557"/>
      <c r="E557"/>
      <c r="F557"/>
      <c r="G557"/>
      <c r="H557"/>
      <c r="I557"/>
      <c r="J557"/>
      <c r="K557"/>
      <c r="L557"/>
      <c r="M557"/>
      <c r="N557"/>
      <c r="O557"/>
      <c r="P557"/>
      <c r="Q557"/>
      <c r="R557"/>
      <c r="S557"/>
    </row>
    <row r="558" spans="1:19">
      <c r="A558"/>
      <c r="B558"/>
      <c r="C558"/>
      <c r="D558"/>
      <c r="E558"/>
      <c r="F558"/>
      <c r="G558"/>
      <c r="H558"/>
      <c r="I558"/>
      <c r="J558"/>
      <c r="K558"/>
      <c r="L558"/>
      <c r="M558"/>
      <c r="N558"/>
      <c r="O558"/>
      <c r="P558"/>
      <c r="Q558"/>
      <c r="R558"/>
      <c r="S558"/>
    </row>
    <row r="559" spans="1:19">
      <c r="A559"/>
      <c r="B559"/>
      <c r="C559"/>
      <c r="D559"/>
      <c r="E559"/>
      <c r="F559"/>
      <c r="G559"/>
      <c r="H559"/>
      <c r="I559"/>
      <c r="J559"/>
      <c r="K559"/>
      <c r="L559"/>
      <c r="M559"/>
      <c r="N559"/>
      <c r="O559"/>
      <c r="P559"/>
      <c r="Q559"/>
      <c r="R559"/>
      <c r="S559"/>
    </row>
    <row r="560" spans="1:19">
      <c r="A560"/>
      <c r="B560"/>
      <c r="C560"/>
      <c r="D560"/>
      <c r="E560"/>
      <c r="F560"/>
      <c r="G560"/>
      <c r="H560"/>
      <c r="I560"/>
      <c r="J560"/>
      <c r="K560"/>
      <c r="L560"/>
      <c r="M560"/>
      <c r="N560"/>
      <c r="O560"/>
      <c r="P560"/>
      <c r="Q560"/>
      <c r="R560"/>
      <c r="S560"/>
    </row>
    <row r="561" spans="1:19">
      <c r="A561"/>
      <c r="B561"/>
      <c r="C561"/>
      <c r="D561"/>
      <c r="E561"/>
      <c r="F561"/>
      <c r="G561"/>
      <c r="H561"/>
      <c r="I561"/>
      <c r="J561"/>
      <c r="K561"/>
      <c r="L561"/>
      <c r="M561"/>
      <c r="N561"/>
      <c r="O561"/>
      <c r="P561"/>
      <c r="Q561"/>
      <c r="R561"/>
      <c r="S561"/>
    </row>
    <row r="562" spans="1:19">
      <c r="A562"/>
      <c r="B562"/>
      <c r="C562"/>
      <c r="D562"/>
      <c r="E562"/>
      <c r="F562"/>
      <c r="G562"/>
      <c r="H562"/>
      <c r="I562"/>
      <c r="J562"/>
      <c r="K562"/>
      <c r="L562"/>
      <c r="M562"/>
      <c r="N562"/>
      <c r="O562"/>
      <c r="P562"/>
      <c r="Q562"/>
      <c r="R562"/>
      <c r="S562"/>
    </row>
    <row r="563" spans="1:19">
      <c r="A563"/>
      <c r="B563"/>
      <c r="C563"/>
      <c r="D563"/>
      <c r="E563"/>
      <c r="F563"/>
      <c r="G563"/>
      <c r="H563"/>
      <c r="I563"/>
      <c r="J563"/>
      <c r="K563"/>
      <c r="L563"/>
      <c r="M563"/>
      <c r="N563"/>
      <c r="O563"/>
      <c r="P563"/>
      <c r="Q563"/>
      <c r="R563"/>
      <c r="S563"/>
    </row>
    <row r="564" spans="1:19">
      <c r="A564"/>
      <c r="B564"/>
      <c r="C564"/>
      <c r="D564"/>
      <c r="E564"/>
      <c r="F564"/>
      <c r="G564"/>
      <c r="H564"/>
      <c r="I564"/>
      <c r="J564"/>
      <c r="K564"/>
      <c r="L564"/>
      <c r="M564"/>
      <c r="N564"/>
      <c r="O564"/>
      <c r="P564"/>
      <c r="Q564"/>
      <c r="R564"/>
      <c r="S564"/>
    </row>
    <row r="565" spans="1:19">
      <c r="A565"/>
      <c r="B565"/>
      <c r="C565"/>
      <c r="D565"/>
      <c r="E565"/>
      <c r="F565"/>
      <c r="G565"/>
      <c r="H565"/>
      <c r="I565"/>
      <c r="J565"/>
      <c r="K565"/>
      <c r="L565"/>
      <c r="M565"/>
      <c r="N565"/>
      <c r="O565"/>
      <c r="P565"/>
      <c r="Q565"/>
      <c r="R565"/>
      <c r="S565"/>
    </row>
    <row r="566" spans="1:19">
      <c r="A566"/>
      <c r="B566"/>
      <c r="C566"/>
      <c r="D566"/>
      <c r="E566"/>
      <c r="F566"/>
      <c r="G566"/>
      <c r="H566"/>
      <c r="I566"/>
      <c r="J566"/>
      <c r="K566"/>
      <c r="L566"/>
      <c r="M566"/>
      <c r="N566"/>
      <c r="O566"/>
      <c r="P566"/>
      <c r="Q566"/>
      <c r="R566"/>
      <c r="S566"/>
    </row>
    <row r="567" spans="1:19">
      <c r="A567"/>
      <c r="B567"/>
      <c r="C567"/>
      <c r="D567"/>
      <c r="E567"/>
      <c r="F567"/>
      <c r="G567"/>
      <c r="H567"/>
      <c r="I567"/>
      <c r="J567"/>
      <c r="K567"/>
      <c r="L567"/>
      <c r="M567"/>
      <c r="N567"/>
      <c r="O567"/>
      <c r="P567"/>
      <c r="Q567"/>
      <c r="R567"/>
      <c r="S567"/>
    </row>
    <row r="568" spans="1:19">
      <c r="A568"/>
      <c r="B568"/>
      <c r="C568"/>
      <c r="D568"/>
      <c r="E568"/>
      <c r="F568"/>
      <c r="G568"/>
      <c r="H568"/>
      <c r="I568"/>
      <c r="J568"/>
      <c r="K568"/>
      <c r="L568"/>
      <c r="M568"/>
      <c r="N568"/>
      <c r="O568"/>
      <c r="P568"/>
      <c r="Q568"/>
      <c r="R568"/>
      <c r="S568"/>
    </row>
    <row r="569" spans="1:19">
      <c r="A569"/>
      <c r="B569"/>
      <c r="C569"/>
      <c r="D569"/>
      <c r="E569"/>
      <c r="F569"/>
      <c r="G569"/>
      <c r="H569"/>
      <c r="I569"/>
      <c r="J569"/>
      <c r="K569"/>
      <c r="L569"/>
      <c r="M569"/>
      <c r="N569"/>
      <c r="O569"/>
      <c r="P569"/>
      <c r="Q569"/>
      <c r="R569"/>
      <c r="S569"/>
    </row>
    <row r="570" spans="1:19">
      <c r="A570"/>
      <c r="B570"/>
      <c r="C570"/>
      <c r="D570"/>
      <c r="E570"/>
      <c r="F570"/>
      <c r="G570"/>
      <c r="H570"/>
      <c r="I570"/>
      <c r="J570"/>
      <c r="K570"/>
      <c r="L570"/>
      <c r="M570"/>
      <c r="N570"/>
      <c r="O570"/>
      <c r="P570"/>
      <c r="Q570"/>
      <c r="R570"/>
      <c r="S570"/>
    </row>
    <row r="571" spans="1:19">
      <c r="A571"/>
      <c r="B571"/>
      <c r="C571"/>
      <c r="D571"/>
      <c r="E571"/>
      <c r="F571"/>
      <c r="G571"/>
      <c r="H571"/>
      <c r="I571"/>
      <c r="J571"/>
      <c r="K571"/>
      <c r="L571"/>
      <c r="M571"/>
      <c r="N571"/>
      <c r="O571"/>
      <c r="P571"/>
      <c r="Q571"/>
      <c r="R571"/>
      <c r="S571"/>
    </row>
    <row r="572" spans="1:19">
      <c r="A572"/>
      <c r="B572"/>
      <c r="C572"/>
      <c r="D572"/>
      <c r="E572"/>
      <c r="F572"/>
      <c r="G572"/>
      <c r="H572"/>
      <c r="I572"/>
      <c r="J572"/>
      <c r="K572"/>
      <c r="L572"/>
      <c r="M572"/>
      <c r="N572"/>
      <c r="O572"/>
      <c r="P572"/>
      <c r="Q572"/>
      <c r="R572"/>
      <c r="S572"/>
    </row>
    <row r="573" spans="1:19">
      <c r="A573"/>
      <c r="B573"/>
      <c r="C573"/>
      <c r="D573"/>
      <c r="E573"/>
      <c r="F573"/>
      <c r="G573"/>
      <c r="H573"/>
      <c r="I573"/>
      <c r="J573"/>
      <c r="K573"/>
      <c r="L573"/>
      <c r="M573"/>
      <c r="N573"/>
      <c r="O573"/>
      <c r="P573"/>
      <c r="Q573"/>
      <c r="R573"/>
      <c r="S573"/>
    </row>
    <row r="574" spans="1:19">
      <c r="A574"/>
      <c r="B574"/>
      <c r="C574"/>
      <c r="D574"/>
      <c r="E574"/>
      <c r="F574"/>
      <c r="G574"/>
      <c r="H574"/>
      <c r="I574"/>
      <c r="J574"/>
      <c r="K574"/>
      <c r="L574"/>
      <c r="M574"/>
      <c r="N574"/>
      <c r="O574"/>
      <c r="P574"/>
      <c r="Q574"/>
      <c r="R574"/>
      <c r="S574"/>
    </row>
    <row r="575" spans="1:19">
      <c r="A575"/>
      <c r="B575"/>
      <c r="C575"/>
      <c r="D575"/>
      <c r="E575"/>
      <c r="F575"/>
      <c r="G575"/>
      <c r="H575"/>
      <c r="I575"/>
      <c r="J575"/>
      <c r="K575"/>
      <c r="L575"/>
      <c r="M575"/>
      <c r="N575"/>
      <c r="O575"/>
      <c r="P575"/>
      <c r="Q575"/>
      <c r="R575"/>
      <c r="S575"/>
    </row>
    <row r="576" spans="1:19">
      <c r="A576"/>
      <c r="B576"/>
      <c r="C576"/>
      <c r="D576"/>
      <c r="E576"/>
      <c r="F576"/>
      <c r="G576"/>
      <c r="H576"/>
      <c r="I576"/>
      <c r="J576"/>
      <c r="K576"/>
      <c r="L576"/>
      <c r="M576"/>
      <c r="N576"/>
      <c r="O576"/>
      <c r="P576"/>
      <c r="Q576"/>
      <c r="R576"/>
      <c r="S576"/>
    </row>
    <row r="577" spans="1:19">
      <c r="A577"/>
      <c r="B577"/>
      <c r="C577"/>
      <c r="D577"/>
      <c r="E577"/>
      <c r="F577"/>
      <c r="G577"/>
      <c r="H577"/>
      <c r="I577"/>
      <c r="J577"/>
      <c r="K577"/>
      <c r="L577"/>
      <c r="M577"/>
      <c r="N577"/>
      <c r="O577"/>
      <c r="P577"/>
      <c r="Q577"/>
      <c r="R577"/>
      <c r="S577"/>
    </row>
    <row r="578" spans="1:19">
      <c r="A578"/>
      <c r="B578"/>
      <c r="C578"/>
      <c r="D578"/>
      <c r="E578"/>
      <c r="F578"/>
      <c r="G578"/>
      <c r="H578"/>
      <c r="I578"/>
      <c r="J578"/>
      <c r="K578"/>
      <c r="L578"/>
      <c r="M578"/>
      <c r="N578"/>
      <c r="O578"/>
      <c r="P578"/>
      <c r="Q578"/>
      <c r="R578"/>
      <c r="S578"/>
    </row>
    <row r="579" spans="1:19">
      <c r="A579"/>
      <c r="B579"/>
      <c r="C579"/>
      <c r="D579"/>
      <c r="E579"/>
      <c r="F579"/>
      <c r="G579"/>
      <c r="H579"/>
      <c r="I579"/>
      <c r="J579"/>
      <c r="K579"/>
      <c r="L579"/>
      <c r="M579"/>
      <c r="N579"/>
      <c r="O579"/>
      <c r="P579"/>
      <c r="Q579"/>
      <c r="R579"/>
      <c r="S579"/>
    </row>
    <row r="580" spans="1:19">
      <c r="A580"/>
      <c r="B580"/>
      <c r="C580"/>
      <c r="D580"/>
      <c r="E580"/>
      <c r="F580"/>
      <c r="G580"/>
      <c r="H580"/>
      <c r="I580"/>
      <c r="J580"/>
      <c r="K580"/>
      <c r="L580"/>
      <c r="M580"/>
      <c r="N580"/>
      <c r="O580"/>
      <c r="P580"/>
      <c r="Q580"/>
      <c r="R580"/>
      <c r="S580"/>
    </row>
    <row r="581" spans="1:19">
      <c r="A581"/>
      <c r="B581"/>
      <c r="C581"/>
      <c r="D581"/>
      <c r="E581"/>
      <c r="F581"/>
      <c r="G581"/>
      <c r="H581"/>
      <c r="I581"/>
      <c r="J581"/>
      <c r="K581"/>
      <c r="L581"/>
      <c r="M581"/>
      <c r="N581"/>
      <c r="O581"/>
      <c r="P581"/>
      <c r="Q581"/>
      <c r="R581"/>
      <c r="S581"/>
    </row>
    <row r="582" spans="1:19">
      <c r="A582"/>
      <c r="B582"/>
      <c r="C582"/>
      <c r="D582"/>
      <c r="E582"/>
      <c r="F582"/>
      <c r="G582"/>
      <c r="H582"/>
      <c r="I582"/>
      <c r="J582"/>
      <c r="K582"/>
      <c r="L582"/>
      <c r="M582"/>
      <c r="N582"/>
      <c r="O582"/>
      <c r="P582"/>
      <c r="Q582"/>
      <c r="R582"/>
      <c r="S582"/>
    </row>
    <row r="583" spans="1:19">
      <c r="A583"/>
      <c r="B583"/>
      <c r="C583"/>
      <c r="D583"/>
      <c r="E583"/>
      <c r="F583"/>
      <c r="G583"/>
      <c r="H583"/>
      <c r="I583"/>
      <c r="J583"/>
      <c r="K583"/>
      <c r="L583"/>
      <c r="M583"/>
      <c r="N583"/>
      <c r="O583"/>
      <c r="P583"/>
      <c r="Q583"/>
      <c r="R583"/>
      <c r="S583"/>
    </row>
    <row r="584" spans="1:19">
      <c r="A584"/>
      <c r="B584"/>
      <c r="C584"/>
      <c r="D584"/>
      <c r="E584"/>
      <c r="F584"/>
      <c r="G584"/>
      <c r="H584"/>
      <c r="I584"/>
      <c r="J584"/>
      <c r="K584"/>
      <c r="L584"/>
      <c r="M584"/>
      <c r="N584"/>
      <c r="O584"/>
      <c r="P584"/>
      <c r="Q584"/>
      <c r="R584"/>
      <c r="S584"/>
    </row>
    <row r="585" spans="1:19">
      <c r="A585"/>
      <c r="B585"/>
      <c r="C585"/>
      <c r="D585"/>
      <c r="E585"/>
      <c r="F585"/>
      <c r="G585"/>
      <c r="H585"/>
      <c r="I585"/>
      <c r="J585"/>
      <c r="K585"/>
      <c r="L585"/>
      <c r="M585"/>
      <c r="N585"/>
      <c r="O585"/>
      <c r="P585"/>
      <c r="Q585"/>
      <c r="R585"/>
      <c r="S585"/>
    </row>
    <row r="586" spans="1:19">
      <c r="A586"/>
      <c r="B586"/>
      <c r="C586"/>
      <c r="D586"/>
      <c r="E586"/>
      <c r="F586"/>
      <c r="G586"/>
      <c r="H586"/>
      <c r="I586"/>
      <c r="J586"/>
      <c r="K586"/>
      <c r="L586"/>
      <c r="M586"/>
      <c r="N586"/>
      <c r="O586"/>
      <c r="P586"/>
      <c r="Q586"/>
      <c r="R586"/>
      <c r="S586"/>
    </row>
    <row r="587" spans="1:19">
      <c r="A587"/>
      <c r="B587"/>
      <c r="C587"/>
      <c r="D587"/>
      <c r="E587"/>
      <c r="F587"/>
      <c r="G587"/>
      <c r="H587"/>
      <c r="I587"/>
      <c r="J587"/>
      <c r="K587"/>
      <c r="L587"/>
      <c r="M587"/>
      <c r="N587"/>
      <c r="O587"/>
      <c r="P587"/>
      <c r="Q587"/>
      <c r="R587"/>
      <c r="S587"/>
    </row>
    <row r="588" spans="1:19">
      <c r="A588"/>
      <c r="B588"/>
      <c r="C588"/>
      <c r="D588"/>
      <c r="E588"/>
      <c r="F588"/>
      <c r="G588"/>
      <c r="H588"/>
      <c r="I588"/>
      <c r="J588"/>
      <c r="K588"/>
      <c r="L588"/>
      <c r="M588"/>
      <c r="N588"/>
      <c r="O588"/>
      <c r="P588"/>
      <c r="Q588"/>
      <c r="R588"/>
      <c r="S588"/>
    </row>
    <row r="589" spans="1:19">
      <c r="A589"/>
      <c r="B589"/>
      <c r="C589"/>
      <c r="D589"/>
      <c r="E589"/>
      <c r="F589"/>
      <c r="G589"/>
      <c r="H589"/>
      <c r="I589"/>
      <c r="J589"/>
      <c r="K589"/>
      <c r="L589"/>
      <c r="M589"/>
      <c r="N589"/>
      <c r="O589"/>
      <c r="P589"/>
      <c r="Q589"/>
      <c r="R589"/>
      <c r="S589"/>
    </row>
    <row r="590" spans="1:19">
      <c r="A590"/>
      <c r="B590"/>
      <c r="C590"/>
      <c r="D590"/>
      <c r="E590"/>
      <c r="F590"/>
      <c r="G590"/>
      <c r="H590"/>
      <c r="I590"/>
      <c r="J590"/>
      <c r="K590"/>
      <c r="L590"/>
      <c r="M590"/>
      <c r="N590"/>
      <c r="O590"/>
      <c r="P590"/>
      <c r="Q590"/>
      <c r="R590"/>
      <c r="S590"/>
    </row>
    <row r="591" spans="1:19">
      <c r="A591"/>
      <c r="B591"/>
      <c r="C591"/>
      <c r="D591"/>
      <c r="E591"/>
      <c r="F591"/>
      <c r="G591"/>
      <c r="H591"/>
      <c r="I591"/>
      <c r="J591"/>
      <c r="K591"/>
      <c r="L591"/>
      <c r="M591"/>
      <c r="N591"/>
      <c r="O591"/>
      <c r="P591"/>
      <c r="Q591"/>
      <c r="R591"/>
      <c r="S591"/>
    </row>
    <row r="592" spans="1:19">
      <c r="A592"/>
      <c r="B592"/>
      <c r="C592"/>
      <c r="D592"/>
      <c r="E592"/>
      <c r="F592"/>
      <c r="G592"/>
      <c r="H592"/>
      <c r="I592"/>
      <c r="J592"/>
      <c r="K592"/>
      <c r="L592"/>
      <c r="M592"/>
      <c r="N592"/>
      <c r="O592"/>
      <c r="P592"/>
      <c r="Q592"/>
      <c r="R592"/>
      <c r="S592"/>
    </row>
    <row r="593" spans="1:19">
      <c r="A593"/>
      <c r="B593"/>
      <c r="C593"/>
      <c r="D593"/>
      <c r="E593"/>
      <c r="F593"/>
      <c r="G593"/>
      <c r="H593"/>
      <c r="I593"/>
      <c r="J593"/>
      <c r="K593"/>
      <c r="L593"/>
      <c r="M593"/>
      <c r="N593"/>
      <c r="O593"/>
      <c r="P593"/>
      <c r="Q593"/>
      <c r="R593"/>
      <c r="S593"/>
    </row>
    <row r="594" spans="1:19">
      <c r="A594"/>
      <c r="B594"/>
      <c r="C594"/>
      <c r="D594"/>
      <c r="E594"/>
      <c r="F594"/>
      <c r="G594"/>
      <c r="H594"/>
      <c r="I594"/>
      <c r="J594"/>
      <c r="K594"/>
      <c r="L594"/>
      <c r="M594"/>
      <c r="N594"/>
      <c r="O594"/>
      <c r="P594"/>
      <c r="Q594"/>
      <c r="R594"/>
      <c r="S594"/>
    </row>
    <row r="595" spans="1:19">
      <c r="A595"/>
      <c r="B595"/>
      <c r="C595"/>
      <c r="D595"/>
      <c r="E595"/>
      <c r="F595"/>
      <c r="G595"/>
      <c r="H595"/>
      <c r="I595"/>
      <c r="J595"/>
      <c r="K595"/>
      <c r="L595"/>
      <c r="M595"/>
      <c r="N595"/>
      <c r="O595"/>
      <c r="P595"/>
      <c r="Q595"/>
      <c r="R595"/>
      <c r="S595"/>
    </row>
    <row r="596" spans="1:19">
      <c r="A596"/>
      <c r="B596"/>
      <c r="C596"/>
      <c r="D596"/>
      <c r="E596"/>
      <c r="F596"/>
      <c r="G596"/>
      <c r="H596"/>
      <c r="I596"/>
      <c r="J596"/>
      <c r="K596"/>
      <c r="L596"/>
      <c r="M596"/>
      <c r="N596"/>
      <c r="O596"/>
      <c r="P596"/>
      <c r="Q596"/>
      <c r="R596"/>
      <c r="S596"/>
    </row>
    <row r="597" spans="1:19">
      <c r="A597"/>
      <c r="B597"/>
      <c r="C597"/>
      <c r="D597"/>
      <c r="E597"/>
      <c r="F597"/>
      <c r="G597"/>
      <c r="H597"/>
      <c r="I597"/>
      <c r="J597"/>
      <c r="K597"/>
      <c r="L597"/>
      <c r="M597"/>
      <c r="N597"/>
      <c r="O597"/>
      <c r="P597"/>
      <c r="Q597"/>
      <c r="R597"/>
      <c r="S597"/>
    </row>
    <row r="598" spans="1:19">
      <c r="A598"/>
      <c r="B598"/>
      <c r="C598"/>
      <c r="D598"/>
      <c r="E598"/>
      <c r="F598"/>
      <c r="G598"/>
      <c r="H598"/>
      <c r="I598"/>
      <c r="J598"/>
      <c r="K598"/>
      <c r="L598"/>
      <c r="M598"/>
      <c r="N598"/>
      <c r="O598"/>
      <c r="P598"/>
      <c r="Q598"/>
      <c r="R598"/>
      <c r="S598"/>
    </row>
    <row r="599" spans="1:19">
      <c r="A599"/>
      <c r="B599"/>
      <c r="C599"/>
      <c r="D599"/>
      <c r="E599"/>
      <c r="F599"/>
      <c r="G599"/>
      <c r="H599"/>
      <c r="I599"/>
      <c r="J599"/>
      <c r="K599"/>
      <c r="L599"/>
      <c r="M599"/>
      <c r="N599"/>
      <c r="O599"/>
      <c r="P599"/>
      <c r="Q599"/>
      <c r="R599"/>
      <c r="S599"/>
    </row>
    <row r="600" spans="1:19">
      <c r="A600"/>
      <c r="B600"/>
      <c r="C600"/>
      <c r="D600"/>
      <c r="E600"/>
      <c r="F600"/>
      <c r="G600"/>
      <c r="H600"/>
      <c r="I600"/>
      <c r="J600"/>
      <c r="K600"/>
      <c r="L600"/>
      <c r="M600"/>
      <c r="N600"/>
      <c r="O600"/>
      <c r="P600"/>
      <c r="Q600"/>
      <c r="R600"/>
      <c r="S600"/>
    </row>
    <row r="601" spans="1:19">
      <c r="A601"/>
      <c r="B601"/>
      <c r="C601"/>
      <c r="D601"/>
      <c r="E601"/>
      <c r="F601"/>
      <c r="G601"/>
      <c r="H601"/>
      <c r="I601"/>
      <c r="J601"/>
      <c r="K601"/>
      <c r="L601"/>
      <c r="M601"/>
      <c r="N601"/>
      <c r="O601"/>
      <c r="P601"/>
      <c r="Q601"/>
      <c r="R601"/>
      <c r="S601"/>
    </row>
    <row r="602" spans="1:19">
      <c r="A602"/>
      <c r="B602"/>
      <c r="C602"/>
      <c r="D602"/>
      <c r="E602"/>
      <c r="F602"/>
      <c r="G602"/>
      <c r="H602"/>
      <c r="I602"/>
      <c r="J602"/>
      <c r="K602"/>
      <c r="L602"/>
      <c r="M602"/>
      <c r="N602"/>
      <c r="O602"/>
      <c r="P602"/>
      <c r="Q602"/>
      <c r="R602"/>
      <c r="S602"/>
    </row>
    <row r="603" spans="1:19">
      <c r="A603"/>
      <c r="B603"/>
      <c r="C603"/>
      <c r="D603"/>
      <c r="E603"/>
      <c r="F603"/>
      <c r="G603"/>
      <c r="H603"/>
      <c r="I603"/>
      <c r="J603"/>
      <c r="K603"/>
      <c r="L603"/>
      <c r="M603"/>
      <c r="N603"/>
      <c r="O603"/>
      <c r="P603"/>
      <c r="Q603"/>
      <c r="R603"/>
      <c r="S603"/>
    </row>
    <row r="604" spans="1:19">
      <c r="A604"/>
      <c r="B604"/>
      <c r="C604"/>
      <c r="D604"/>
      <c r="E604"/>
      <c r="F604"/>
      <c r="G604"/>
      <c r="H604"/>
      <c r="I604"/>
      <c r="J604"/>
      <c r="K604"/>
      <c r="L604"/>
      <c r="M604"/>
      <c r="N604"/>
      <c r="O604"/>
      <c r="P604"/>
      <c r="Q604"/>
      <c r="R604"/>
      <c r="S604"/>
    </row>
    <row r="605" spans="1:19">
      <c r="A605"/>
      <c r="B605"/>
      <c r="C605"/>
      <c r="D605"/>
      <c r="E605"/>
      <c r="F605"/>
      <c r="G605"/>
      <c r="H605"/>
      <c r="I605"/>
      <c r="J605"/>
      <c r="K605"/>
      <c r="L605"/>
      <c r="M605"/>
      <c r="N605"/>
      <c r="O605"/>
      <c r="P605"/>
      <c r="Q605"/>
      <c r="R605"/>
      <c r="S605"/>
    </row>
    <row r="606" spans="1:19">
      <c r="A606"/>
      <c r="B606"/>
      <c r="C606"/>
      <c r="D606"/>
      <c r="E606"/>
      <c r="F606"/>
      <c r="G606"/>
      <c r="H606"/>
      <c r="I606"/>
      <c r="J606"/>
      <c r="K606"/>
      <c r="L606"/>
      <c r="M606"/>
      <c r="N606"/>
      <c r="O606"/>
      <c r="P606"/>
      <c r="Q606"/>
      <c r="R606"/>
      <c r="S606"/>
    </row>
    <row r="607" spans="1:19">
      <c r="A607"/>
      <c r="B607"/>
      <c r="C607"/>
      <c r="D607"/>
      <c r="E607"/>
      <c r="F607"/>
      <c r="G607"/>
      <c r="H607"/>
      <c r="I607"/>
      <c r="J607"/>
      <c r="K607"/>
      <c r="L607"/>
      <c r="M607"/>
      <c r="N607"/>
      <c r="O607"/>
      <c r="P607"/>
      <c r="Q607"/>
      <c r="R607"/>
      <c r="S607"/>
    </row>
    <row r="608" spans="1:19">
      <c r="A608"/>
      <c r="B608"/>
      <c r="C608"/>
      <c r="D608"/>
      <c r="E608"/>
      <c r="F608"/>
      <c r="G608"/>
      <c r="H608"/>
      <c r="I608"/>
      <c r="J608"/>
      <c r="K608"/>
      <c r="L608"/>
      <c r="M608"/>
      <c r="N608"/>
      <c r="O608"/>
      <c r="P608"/>
      <c r="Q608"/>
      <c r="R608"/>
      <c r="S608"/>
    </row>
    <row r="609" spans="1:19">
      <c r="A609"/>
      <c r="B609"/>
      <c r="C609"/>
      <c r="D609"/>
      <c r="E609"/>
      <c r="F609"/>
      <c r="G609"/>
      <c r="H609"/>
      <c r="I609"/>
      <c r="J609"/>
      <c r="K609"/>
      <c r="L609"/>
      <c r="M609"/>
      <c r="N609"/>
      <c r="O609"/>
      <c r="P609"/>
      <c r="Q609"/>
      <c r="R609"/>
      <c r="S609"/>
    </row>
    <row r="610" spans="1:19">
      <c r="A610"/>
      <c r="B610"/>
      <c r="C610"/>
      <c r="D610"/>
      <c r="E610"/>
      <c r="F610"/>
      <c r="G610"/>
      <c r="H610"/>
      <c r="I610"/>
      <c r="J610"/>
      <c r="K610"/>
      <c r="L610"/>
      <c r="M610"/>
      <c r="N610"/>
      <c r="O610"/>
      <c r="P610"/>
      <c r="Q610"/>
      <c r="R610"/>
      <c r="S610"/>
    </row>
    <row r="611" spans="1:19">
      <c r="A611"/>
      <c r="B611"/>
      <c r="C611"/>
      <c r="D611"/>
      <c r="E611"/>
      <c r="F611"/>
      <c r="G611"/>
      <c r="H611"/>
      <c r="I611"/>
      <c r="J611"/>
      <c r="K611"/>
      <c r="L611"/>
      <c r="M611"/>
      <c r="N611"/>
      <c r="O611"/>
      <c r="P611"/>
      <c r="Q611"/>
      <c r="R611"/>
      <c r="S611"/>
    </row>
    <row r="612" spans="1:19">
      <c r="A612"/>
      <c r="B612"/>
      <c r="C612"/>
      <c r="D612"/>
      <c r="E612"/>
      <c r="F612"/>
      <c r="G612"/>
      <c r="H612"/>
      <c r="I612"/>
      <c r="J612"/>
      <c r="K612"/>
      <c r="L612"/>
      <c r="M612"/>
      <c r="N612"/>
      <c r="O612"/>
      <c r="P612"/>
      <c r="Q612"/>
      <c r="R612"/>
      <c r="S612"/>
    </row>
    <row r="613" spans="1:19">
      <c r="A613"/>
      <c r="B613"/>
      <c r="C613"/>
      <c r="D613"/>
      <c r="E613"/>
      <c r="F613"/>
      <c r="G613"/>
      <c r="H613"/>
      <c r="I613"/>
      <c r="J613"/>
      <c r="K613"/>
      <c r="L613"/>
      <c r="M613"/>
      <c r="N613"/>
      <c r="O613"/>
      <c r="P613"/>
      <c r="Q613"/>
      <c r="R613"/>
      <c r="S613"/>
    </row>
    <row r="614" spans="1:19">
      <c r="A614"/>
      <c r="B614"/>
      <c r="C614"/>
      <c r="D614"/>
      <c r="E614"/>
      <c r="F614"/>
      <c r="G614"/>
      <c r="H614"/>
      <c r="I614"/>
      <c r="J614"/>
      <c r="K614"/>
      <c r="L614"/>
      <c r="M614"/>
      <c r="N614"/>
      <c r="O614"/>
      <c r="P614"/>
      <c r="Q614"/>
      <c r="R614"/>
      <c r="S614"/>
    </row>
    <row r="615" spans="1:19">
      <c r="A615"/>
      <c r="B615"/>
      <c r="C615"/>
      <c r="D615"/>
      <c r="E615"/>
      <c r="F615"/>
      <c r="G615"/>
      <c r="H615"/>
      <c r="I615"/>
      <c r="J615"/>
      <c r="K615"/>
      <c r="L615"/>
      <c r="M615"/>
      <c r="N615"/>
      <c r="O615"/>
      <c r="P615"/>
      <c r="Q615"/>
      <c r="R615"/>
      <c r="S615"/>
    </row>
    <row r="616" spans="1:19">
      <c r="A616"/>
      <c r="B616"/>
      <c r="C616"/>
      <c r="D616"/>
      <c r="E616"/>
      <c r="F616"/>
      <c r="G616"/>
      <c r="H616"/>
      <c r="I616"/>
      <c r="J616"/>
      <c r="K616"/>
      <c r="L616"/>
      <c r="M616"/>
      <c r="N616"/>
      <c r="O616"/>
      <c r="P616"/>
      <c r="Q616"/>
      <c r="R616"/>
      <c r="S616"/>
    </row>
    <row r="617" spans="1:19">
      <c r="A617"/>
      <c r="B617"/>
      <c r="C617"/>
      <c r="D617"/>
      <c r="E617"/>
      <c r="F617"/>
      <c r="G617"/>
      <c r="H617"/>
      <c r="I617"/>
      <c r="J617"/>
      <c r="K617"/>
      <c r="L617"/>
      <c r="M617"/>
      <c r="N617"/>
      <c r="O617"/>
      <c r="P617"/>
      <c r="Q617"/>
      <c r="R617"/>
      <c r="S617"/>
    </row>
    <row r="618" spans="1:19">
      <c r="A618"/>
      <c r="B618"/>
      <c r="C618"/>
      <c r="D618"/>
      <c r="E618"/>
      <c r="F618"/>
      <c r="G618"/>
      <c r="H618"/>
      <c r="I618"/>
      <c r="J618"/>
      <c r="K618"/>
      <c r="L618"/>
      <c r="M618"/>
      <c r="N618"/>
      <c r="O618"/>
      <c r="P618"/>
      <c r="Q618"/>
      <c r="R618"/>
      <c r="S618"/>
    </row>
    <row r="619" spans="1:19">
      <c r="A619"/>
      <c r="B619"/>
      <c r="C619"/>
      <c r="D619"/>
      <c r="E619"/>
      <c r="F619"/>
      <c r="G619"/>
      <c r="H619"/>
      <c r="I619"/>
      <c r="J619"/>
      <c r="K619"/>
      <c r="L619"/>
      <c r="M619"/>
      <c r="N619"/>
      <c r="O619"/>
      <c r="P619"/>
      <c r="Q619"/>
      <c r="R619"/>
      <c r="S619"/>
    </row>
    <row r="620" spans="1:19">
      <c r="A620"/>
      <c r="B620"/>
      <c r="C620"/>
      <c r="D620"/>
      <c r="E620"/>
      <c r="F620"/>
      <c r="G620"/>
      <c r="H620"/>
      <c r="I620"/>
      <c r="J620"/>
      <c r="K620"/>
      <c r="L620"/>
      <c r="M620"/>
      <c r="N620"/>
      <c r="O620"/>
      <c r="P620"/>
      <c r="Q620"/>
      <c r="R620"/>
      <c r="S620"/>
    </row>
    <row r="621" spans="1:19">
      <c r="A621"/>
      <c r="B621"/>
      <c r="C621"/>
      <c r="D621"/>
      <c r="E621"/>
      <c r="F621"/>
      <c r="G621"/>
      <c r="H621"/>
      <c r="I621"/>
      <c r="J621"/>
      <c r="K621"/>
      <c r="L621"/>
      <c r="M621"/>
      <c r="N621"/>
      <c r="O621"/>
      <c r="P621"/>
      <c r="Q621"/>
      <c r="R621"/>
      <c r="S6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4" enableFormatConditionsCalculation="0">
    <tabColor indexed="17"/>
  </sheetPr>
  <dimension ref="A3:U653"/>
  <sheetViews>
    <sheetView showGridLines="0" showZeros="0" view="pageBreakPreview" zoomScale="70" zoomScaleNormal="60" zoomScaleSheetLayoutView="70" workbookViewId="0">
      <pane xSplit="2" ySplit="5" topLeftCell="C6" activePane="bottomRight" state="frozen"/>
      <selection pane="topRight" activeCell="C1" sqref="C1"/>
      <selection pane="bottomLeft" activeCell="A6" sqref="A6"/>
      <selection pane="bottomRight" sqref="A1:XFD1048576"/>
    </sheetView>
  </sheetViews>
  <sheetFormatPr defaultRowHeight="12.75"/>
  <cols>
    <col min="1" max="1" width="6" customWidth="1"/>
    <col min="2" max="2" width="27.140625" bestFit="1" customWidth="1"/>
    <col min="3" max="3" width="11.7109375" customWidth="1"/>
    <col min="4" max="9" width="11.7109375" style="1" customWidth="1"/>
    <col min="10" max="10" width="10" style="1" customWidth="1"/>
    <col min="11" max="14" width="11.28515625" style="1" customWidth="1"/>
    <col min="15" max="15" width="9.5703125" style="1" customWidth="1"/>
    <col min="16" max="18" width="11.28515625" style="1" bestFit="1" customWidth="1"/>
    <col min="19" max="19" width="9.5703125" style="1" bestFit="1" customWidth="1"/>
    <col min="20" max="20" width="9" bestFit="1" customWidth="1"/>
    <col min="21" max="21" width="8.5703125" bestFit="1" customWidth="1"/>
  </cols>
  <sheetData>
    <row r="3" spans="1:21">
      <c r="A3" s="499"/>
      <c r="B3" s="503"/>
      <c r="C3" s="605" t="s">
        <v>207</v>
      </c>
      <c r="D3" s="677" t="s">
        <v>190</v>
      </c>
      <c r="E3" s="513"/>
      <c r="F3" s="504"/>
      <c r="G3" s="504"/>
      <c r="H3" s="504"/>
      <c r="I3" s="504"/>
      <c r="J3" s="504"/>
      <c r="K3" s="504"/>
      <c r="L3" s="504"/>
      <c r="M3" s="504"/>
      <c r="N3" s="504"/>
      <c r="O3" s="504"/>
      <c r="P3" s="504"/>
      <c r="Q3" s="504"/>
      <c r="R3" s="504"/>
      <c r="S3" s="518"/>
      <c r="T3" s="504"/>
      <c r="U3" s="526"/>
    </row>
    <row r="4" spans="1:21">
      <c r="A4" s="484"/>
      <c r="B4" s="485"/>
      <c r="C4" s="486" t="s">
        <v>203</v>
      </c>
      <c r="D4" s="487"/>
      <c r="E4" s="488"/>
      <c r="F4" s="488"/>
      <c r="G4" s="488"/>
      <c r="H4" s="488"/>
      <c r="I4" s="488"/>
      <c r="J4" s="489" t="s">
        <v>203</v>
      </c>
      <c r="K4" s="486" t="s">
        <v>208</v>
      </c>
      <c r="L4" s="488"/>
      <c r="M4" s="488"/>
      <c r="N4" s="488"/>
      <c r="O4" s="486" t="s">
        <v>208</v>
      </c>
      <c r="P4" s="486" t="s">
        <v>219</v>
      </c>
      <c r="Q4" s="488"/>
      <c r="R4" s="488"/>
      <c r="S4" s="490" t="s">
        <v>219</v>
      </c>
      <c r="T4" s="3"/>
      <c r="U4" s="524"/>
    </row>
    <row r="5" spans="1:21">
      <c r="A5" s="608" t="s">
        <v>197</v>
      </c>
      <c r="B5" s="608" t="s">
        <v>202</v>
      </c>
      <c r="C5" s="3">
        <v>1</v>
      </c>
      <c r="D5" s="32">
        <v>2</v>
      </c>
      <c r="E5" s="32">
        <v>3</v>
      </c>
      <c r="F5" s="32">
        <v>4</v>
      </c>
      <c r="G5" s="32">
        <v>5</v>
      </c>
      <c r="H5" s="32">
        <v>6</v>
      </c>
      <c r="I5" s="32">
        <v>15</v>
      </c>
      <c r="J5" s="476"/>
      <c r="K5" s="3">
        <v>7</v>
      </c>
      <c r="L5" s="32">
        <v>8</v>
      </c>
      <c r="M5" s="32">
        <v>9</v>
      </c>
      <c r="N5" s="32">
        <v>10</v>
      </c>
      <c r="O5" s="462"/>
      <c r="P5" s="3">
        <v>12</v>
      </c>
      <c r="Q5" s="32">
        <v>13</v>
      </c>
      <c r="R5" s="32">
        <v>14</v>
      </c>
      <c r="S5" s="483"/>
      <c r="T5" s="3"/>
      <c r="U5" s="525"/>
    </row>
    <row r="6" spans="1:21">
      <c r="A6" s="478" t="s">
        <v>134</v>
      </c>
      <c r="B6" s="3" t="s">
        <v>39</v>
      </c>
      <c r="C6" s="700">
        <v>0.9727830221662821</v>
      </c>
      <c r="D6" s="701">
        <v>0.99104037965879799</v>
      </c>
      <c r="E6" s="701">
        <v>0.806819866567828</v>
      </c>
      <c r="F6" s="701">
        <v>0.95424273309551644</v>
      </c>
      <c r="G6" s="701">
        <v>0.95013007804682814</v>
      </c>
      <c r="H6" s="701">
        <v>0.2999904864159611</v>
      </c>
      <c r="I6" s="701">
        <v>0</v>
      </c>
      <c r="J6" s="702">
        <v>0.90973779616819506</v>
      </c>
      <c r="K6" s="700">
        <v>0</v>
      </c>
      <c r="L6" s="701">
        <v>0.82833546079016862</v>
      </c>
      <c r="M6" s="701">
        <v>0.89403534455714739</v>
      </c>
      <c r="N6" s="701">
        <v>0.83167279848881981</v>
      </c>
      <c r="O6" s="700">
        <v>0.86638885820603906</v>
      </c>
      <c r="P6" s="700">
        <v>0.89021426993593988</v>
      </c>
      <c r="Q6" s="701">
        <v>1</v>
      </c>
      <c r="R6" s="701">
        <v>0</v>
      </c>
      <c r="S6" s="713">
        <v>0.92144465958035326</v>
      </c>
      <c r="T6" s="536"/>
      <c r="U6" s="542"/>
    </row>
    <row r="7" spans="1:21">
      <c r="A7" s="479"/>
      <c r="B7" s="4" t="s">
        <v>41</v>
      </c>
      <c r="C7" s="703">
        <v>0.96624029364931485</v>
      </c>
      <c r="D7" s="704">
        <v>0.98581958019548155</v>
      </c>
      <c r="E7" s="704">
        <v>0.84859878613161233</v>
      </c>
      <c r="F7" s="704">
        <v>0.93871820486827862</v>
      </c>
      <c r="G7" s="704">
        <v>0.97398886766352677</v>
      </c>
      <c r="H7" s="704">
        <v>0.25940193999322381</v>
      </c>
      <c r="I7" s="704">
        <v>0</v>
      </c>
      <c r="J7" s="705">
        <v>0.91477084269542697</v>
      </c>
      <c r="K7" s="703">
        <v>0</v>
      </c>
      <c r="L7" s="704">
        <v>0.82663710895763776</v>
      </c>
      <c r="M7" s="704">
        <v>0.86696454471445816</v>
      </c>
      <c r="N7" s="704">
        <v>0.82329776888921502</v>
      </c>
      <c r="O7" s="703">
        <v>0.84878646082945874</v>
      </c>
      <c r="P7" s="703">
        <v>0.91512051798247995</v>
      </c>
      <c r="Q7" s="704">
        <v>1</v>
      </c>
      <c r="R7" s="704">
        <v>0</v>
      </c>
      <c r="S7" s="714">
        <v>0.94044665012406947</v>
      </c>
      <c r="T7" s="543"/>
      <c r="U7" s="550"/>
    </row>
    <row r="8" spans="1:21">
      <c r="A8" s="479"/>
      <c r="B8" s="480" t="s">
        <v>87</v>
      </c>
      <c r="C8" s="724">
        <v>-0.65427285169672444</v>
      </c>
      <c r="D8" s="725">
        <v>-0.5220799463316439</v>
      </c>
      <c r="E8" s="725">
        <v>4.1778919563784322</v>
      </c>
      <c r="F8" s="725">
        <v>-1.5524528227237822</v>
      </c>
      <c r="G8" s="725">
        <v>2.3858789616698628</v>
      </c>
      <c r="H8" s="725">
        <v>-4.0588546422737295</v>
      </c>
      <c r="I8" s="725">
        <v>0</v>
      </c>
      <c r="J8" s="726">
        <v>0.50330465272319103</v>
      </c>
      <c r="K8" s="724">
        <v>0</v>
      </c>
      <c r="L8" s="725">
        <v>-0.16983518325308644</v>
      </c>
      <c r="M8" s="725">
        <v>-2.707079984268923</v>
      </c>
      <c r="N8" s="725">
        <v>-0.83750295996047885</v>
      </c>
      <c r="O8" s="724">
        <v>-1.7602397376580314</v>
      </c>
      <c r="P8" s="724">
        <v>2.4906248046540069</v>
      </c>
      <c r="Q8" s="725">
        <v>0</v>
      </c>
      <c r="R8" s="725">
        <v>0</v>
      </c>
      <c r="S8" s="727">
        <v>1.9001990543716207</v>
      </c>
      <c r="T8" s="510"/>
      <c r="U8" s="528"/>
    </row>
    <row r="9" spans="1:21">
      <c r="A9" s="479"/>
      <c r="B9" s="4" t="s">
        <v>43</v>
      </c>
      <c r="C9" s="703">
        <v>4.7339346898818267E-4</v>
      </c>
      <c r="D9" s="704">
        <v>0</v>
      </c>
      <c r="E9" s="704">
        <v>1.2003552848623271E-2</v>
      </c>
      <c r="F9" s="704">
        <v>9.3677868041607958E-4</v>
      </c>
      <c r="G9" s="704">
        <v>1.5609365619371623E-3</v>
      </c>
      <c r="H9" s="704">
        <v>6.8484214245912556E-2</v>
      </c>
      <c r="I9" s="704">
        <v>0</v>
      </c>
      <c r="J9" s="705">
        <v>5.3191825389304779E-3</v>
      </c>
      <c r="K9" s="703">
        <v>0</v>
      </c>
      <c r="L9" s="704">
        <v>4.9485306396239069E-2</v>
      </c>
      <c r="M9" s="704">
        <v>1.2345498274600021E-2</v>
      </c>
      <c r="N9" s="704">
        <v>4.1145996147238543E-3</v>
      </c>
      <c r="O9" s="703">
        <v>1.8308753401342366E-2</v>
      </c>
      <c r="P9" s="703">
        <v>6.8754141815772036E-3</v>
      </c>
      <c r="Q9" s="704">
        <v>0</v>
      </c>
      <c r="R9" s="704">
        <v>0</v>
      </c>
      <c r="S9" s="714">
        <v>4.9195874659185203E-3</v>
      </c>
      <c r="T9" s="536"/>
      <c r="U9" s="542"/>
    </row>
    <row r="10" spans="1:21">
      <c r="A10" s="479"/>
      <c r="B10" s="4" t="s">
        <v>45</v>
      </c>
      <c r="C10" s="703">
        <v>3.6173795293174962E-4</v>
      </c>
      <c r="D10" s="704">
        <v>0</v>
      </c>
      <c r="E10" s="704">
        <v>9.5542936977631929E-3</v>
      </c>
      <c r="F10" s="704">
        <v>4.884478403978273E-3</v>
      </c>
      <c r="G10" s="704">
        <v>8.2339766813780386E-5</v>
      </c>
      <c r="H10" s="704">
        <v>5.4560740861577847E-2</v>
      </c>
      <c r="I10" s="704">
        <v>0</v>
      </c>
      <c r="J10" s="705">
        <v>4.7509281847167833E-3</v>
      </c>
      <c r="K10" s="703">
        <v>0</v>
      </c>
      <c r="L10" s="704">
        <v>4.9385709451628117E-2</v>
      </c>
      <c r="M10" s="704">
        <v>1.9171493538697633E-2</v>
      </c>
      <c r="N10" s="704">
        <v>3.6604161315181094E-3</v>
      </c>
      <c r="O10" s="703">
        <v>2.1605885541306716E-2</v>
      </c>
      <c r="P10" s="703">
        <v>0</v>
      </c>
      <c r="Q10" s="704">
        <v>0</v>
      </c>
      <c r="R10" s="704">
        <v>0</v>
      </c>
      <c r="S10" s="714">
        <v>0</v>
      </c>
      <c r="T10" s="543"/>
      <c r="U10" s="550"/>
    </row>
    <row r="11" spans="1:21">
      <c r="A11" s="479"/>
      <c r="B11" s="480" t="s">
        <v>95</v>
      </c>
      <c r="C11" s="684">
        <v>-1.1165551605643306E-2</v>
      </c>
      <c r="D11" s="685">
        <v>0</v>
      </c>
      <c r="E11" s="685">
        <v>-0.24492591508600783</v>
      </c>
      <c r="F11" s="685">
        <v>0.39476997235621936</v>
      </c>
      <c r="G11" s="685">
        <v>-0.14785967951233819</v>
      </c>
      <c r="H11" s="685">
        <v>-1.3923473384334708</v>
      </c>
      <c r="I11" s="685">
        <v>0</v>
      </c>
      <c r="J11" s="682">
        <v>-5.6825435421369461E-2</v>
      </c>
      <c r="K11" s="683">
        <v>0</v>
      </c>
      <c r="L11" s="685">
        <v>-9.9596944610952365E-3</v>
      </c>
      <c r="M11" s="685">
        <v>0.68259952640976118</v>
      </c>
      <c r="N11" s="685">
        <v>-4.5418348320574488E-2</v>
      </c>
      <c r="O11" s="683">
        <v>0.32971321399643505</v>
      </c>
      <c r="P11" s="683">
        <v>-0.68754141815772041</v>
      </c>
      <c r="Q11" s="685">
        <v>0</v>
      </c>
      <c r="R11" s="685">
        <v>0</v>
      </c>
      <c r="S11" s="715">
        <v>-0.49195874659185201</v>
      </c>
      <c r="T11" s="510"/>
      <c r="U11" s="528"/>
    </row>
    <row r="12" spans="1:21">
      <c r="A12" s="479"/>
      <c r="B12" s="4" t="s">
        <v>49</v>
      </c>
      <c r="C12" s="706">
        <v>2.5712887210684567E-2</v>
      </c>
      <c r="D12" s="704">
        <v>8.9596203412019796E-3</v>
      </c>
      <c r="E12" s="704">
        <v>0.17187239129418522</v>
      </c>
      <c r="F12" s="704">
        <v>4.4820488224067472E-2</v>
      </c>
      <c r="G12" s="704">
        <v>4.8308985391234738E-2</v>
      </c>
      <c r="H12" s="707">
        <v>0.6315252993381264</v>
      </c>
      <c r="I12" s="704">
        <v>0</v>
      </c>
      <c r="J12" s="705">
        <v>8.19809006391021E-2</v>
      </c>
      <c r="K12" s="703">
        <v>0</v>
      </c>
      <c r="L12" s="704">
        <v>0.11764506095093075</v>
      </c>
      <c r="M12" s="704">
        <v>8.0054376241765132E-2</v>
      </c>
      <c r="N12" s="708">
        <v>0.16357403741079468</v>
      </c>
      <c r="O12" s="703">
        <v>0.10650551638048476</v>
      </c>
      <c r="P12" s="703">
        <v>6.8754141815772038E-2</v>
      </c>
      <c r="Q12" s="704">
        <v>0</v>
      </c>
      <c r="R12" s="704">
        <v>0</v>
      </c>
      <c r="S12" s="714">
        <v>4.9195874659185207E-2</v>
      </c>
      <c r="T12" s="536"/>
      <c r="U12" s="542"/>
    </row>
    <row r="13" spans="1:21">
      <c r="A13" s="479"/>
      <c r="B13" s="4" t="s">
        <v>51</v>
      </c>
      <c r="C13" s="709">
        <v>3.1571532997667816E-2</v>
      </c>
      <c r="D13" s="704">
        <v>1.4180419804518507E-2</v>
      </c>
      <c r="E13" s="704">
        <v>0.1347753613649959</v>
      </c>
      <c r="F13" s="704">
        <v>5.6397316727743098E-2</v>
      </c>
      <c r="G13" s="704">
        <v>2.5928792569659444E-2</v>
      </c>
      <c r="H13" s="705">
        <v>0.68603731914519828</v>
      </c>
      <c r="I13" s="704">
        <v>0</v>
      </c>
      <c r="J13" s="705">
        <v>7.7769240439964901E-2</v>
      </c>
      <c r="K13" s="703">
        <v>0</v>
      </c>
      <c r="L13" s="704">
        <v>0.12040148037227792</v>
      </c>
      <c r="M13" s="704">
        <v>0.10381689389615129</v>
      </c>
      <c r="N13" s="708">
        <v>0.17304181497926682</v>
      </c>
      <c r="O13" s="703">
        <v>0.12318264337655858</v>
      </c>
      <c r="P13" s="703">
        <v>6.1347189727406277E-2</v>
      </c>
      <c r="Q13" s="704">
        <v>0</v>
      </c>
      <c r="R13" s="704">
        <v>0</v>
      </c>
      <c r="S13" s="714">
        <v>4.3042565375071576E-2</v>
      </c>
      <c r="T13" s="543"/>
      <c r="U13" s="550"/>
    </row>
    <row r="14" spans="1:21">
      <c r="A14" s="479"/>
      <c r="B14" s="480" t="s">
        <v>97</v>
      </c>
      <c r="C14" s="694">
        <v>0.58586457869832487</v>
      </c>
      <c r="D14" s="685">
        <v>0.52207994633165278</v>
      </c>
      <c r="E14" s="685">
        <v>-3.7097029929189311</v>
      </c>
      <c r="F14" s="685">
        <v>1.1576828503675627</v>
      </c>
      <c r="G14" s="685">
        <v>-2.2380192821575293</v>
      </c>
      <c r="H14" s="662">
        <v>5.4512019807071876</v>
      </c>
      <c r="I14" s="685">
        <v>0</v>
      </c>
      <c r="J14" s="682">
        <v>-0.42116601991371988</v>
      </c>
      <c r="K14" s="683">
        <v>0</v>
      </c>
      <c r="L14" s="685">
        <v>0.27564194213471754</v>
      </c>
      <c r="M14" s="685">
        <v>2.3762517654386155</v>
      </c>
      <c r="N14" s="662">
        <v>0.9467777568472141</v>
      </c>
      <c r="O14" s="683">
        <v>1.6677126996073821</v>
      </c>
      <c r="P14" s="683">
        <v>-0.74069520883657602</v>
      </c>
      <c r="Q14" s="685">
        <v>0</v>
      </c>
      <c r="R14" s="685">
        <v>0</v>
      </c>
      <c r="S14" s="715">
        <v>-0.61533092841136305</v>
      </c>
      <c r="T14" s="510"/>
      <c r="U14" s="528"/>
    </row>
    <row r="15" spans="1:21">
      <c r="A15" s="479"/>
      <c r="B15" s="4" t="s">
        <v>53</v>
      </c>
      <c r="C15" s="703">
        <v>5.8317600167820437E-4</v>
      </c>
      <c r="D15" s="704">
        <v>0</v>
      </c>
      <c r="E15" s="704">
        <v>7.1190538203140131E-3</v>
      </c>
      <c r="F15" s="704">
        <v>0</v>
      </c>
      <c r="G15" s="704">
        <v>0</v>
      </c>
      <c r="H15" s="704">
        <v>0</v>
      </c>
      <c r="I15" s="704">
        <v>0</v>
      </c>
      <c r="J15" s="705">
        <v>2.1633307713095451E-3</v>
      </c>
      <c r="K15" s="703">
        <v>0</v>
      </c>
      <c r="L15" s="704">
        <v>4.3671830112901443E-3</v>
      </c>
      <c r="M15" s="704">
        <v>8.0225870542716717E-3</v>
      </c>
      <c r="N15" s="704">
        <v>3.3664905938649719E-4</v>
      </c>
      <c r="O15" s="703">
        <v>5.547261288418392E-3</v>
      </c>
      <c r="P15" s="703">
        <v>6.737353655842721E-3</v>
      </c>
      <c r="Q15" s="704">
        <v>0</v>
      </c>
      <c r="R15" s="704">
        <v>0</v>
      </c>
      <c r="S15" s="714">
        <v>4.8208005690125264E-3</v>
      </c>
      <c r="T15" s="536"/>
      <c r="U15" s="542"/>
    </row>
    <row r="16" spans="1:21">
      <c r="A16" s="479"/>
      <c r="B16" s="4" t="s">
        <v>55</v>
      </c>
      <c r="C16" s="710">
        <v>4.1224476145429575E-4</v>
      </c>
      <c r="D16" s="704">
        <v>0</v>
      </c>
      <c r="E16" s="704">
        <v>6.9777231561620702E-3</v>
      </c>
      <c r="F16" s="704">
        <v>0</v>
      </c>
      <c r="G16" s="704">
        <v>0</v>
      </c>
      <c r="H16" s="704">
        <v>0</v>
      </c>
      <c r="I16" s="704">
        <v>0</v>
      </c>
      <c r="J16" s="705">
        <v>1.9921197920010274E-3</v>
      </c>
      <c r="K16" s="703">
        <v>0</v>
      </c>
      <c r="L16" s="704">
        <v>3.5757012184561604E-3</v>
      </c>
      <c r="M16" s="704">
        <v>6.3302984083019077E-3</v>
      </c>
      <c r="N16" s="704">
        <v>0</v>
      </c>
      <c r="O16" s="703">
        <v>4.312240923788708E-3</v>
      </c>
      <c r="P16" s="703">
        <v>1.2242232983296153E-3</v>
      </c>
      <c r="Q16" s="704">
        <v>0</v>
      </c>
      <c r="R16" s="704">
        <v>0</v>
      </c>
      <c r="S16" s="714">
        <v>8.589425462874594E-4</v>
      </c>
      <c r="T16" s="543"/>
      <c r="U16" s="550"/>
    </row>
    <row r="17" spans="1:21">
      <c r="A17" s="479"/>
      <c r="B17" s="480" t="s">
        <v>103</v>
      </c>
      <c r="C17" s="684">
        <v>-1.7093124022390861E-2</v>
      </c>
      <c r="D17" s="685">
        <v>0</v>
      </c>
      <c r="E17" s="685">
        <v>-1.4133066415194292E-2</v>
      </c>
      <c r="F17" s="685">
        <v>0</v>
      </c>
      <c r="G17" s="685">
        <v>0</v>
      </c>
      <c r="H17" s="685">
        <v>0</v>
      </c>
      <c r="I17" s="685">
        <v>0</v>
      </c>
      <c r="J17" s="682">
        <v>-1.7121097930851772E-2</v>
      </c>
      <c r="K17" s="683">
        <v>0</v>
      </c>
      <c r="L17" s="685">
        <v>-7.9148179283398387E-2</v>
      </c>
      <c r="M17" s="685">
        <v>-0.16922886459697639</v>
      </c>
      <c r="N17" s="685">
        <v>-3.3664905938649722E-2</v>
      </c>
      <c r="O17" s="683">
        <v>-0.1235020364629684</v>
      </c>
      <c r="P17" s="683">
        <v>-0.55131303575131052</v>
      </c>
      <c r="Q17" s="685">
        <v>0</v>
      </c>
      <c r="R17" s="685">
        <v>0</v>
      </c>
      <c r="S17" s="715">
        <v>-0.39618580227250672</v>
      </c>
      <c r="T17" s="510"/>
      <c r="U17" s="528"/>
    </row>
    <row r="18" spans="1:21">
      <c r="A18" s="479"/>
      <c r="B18" s="4" t="s">
        <v>57</v>
      </c>
      <c r="C18" s="703">
        <v>0</v>
      </c>
      <c r="D18" s="704">
        <v>0</v>
      </c>
      <c r="E18" s="704">
        <v>0</v>
      </c>
      <c r="F18" s="704">
        <v>0</v>
      </c>
      <c r="G18" s="704">
        <v>0</v>
      </c>
      <c r="H18" s="704">
        <v>0</v>
      </c>
      <c r="I18" s="704">
        <v>0</v>
      </c>
      <c r="J18" s="705">
        <v>0</v>
      </c>
      <c r="K18" s="703">
        <v>0</v>
      </c>
      <c r="L18" s="704">
        <v>1.6698885137143133E-4</v>
      </c>
      <c r="M18" s="704">
        <v>2.6947610582453204E-3</v>
      </c>
      <c r="N18" s="704">
        <v>0</v>
      </c>
      <c r="O18" s="703">
        <v>1.5654192009710824E-3</v>
      </c>
      <c r="P18" s="703">
        <v>2.7418820410868124E-2</v>
      </c>
      <c r="Q18" s="704">
        <v>0</v>
      </c>
      <c r="R18" s="704">
        <v>0</v>
      </c>
      <c r="S18" s="714">
        <v>1.9619077725530485E-2</v>
      </c>
      <c r="T18" s="536"/>
      <c r="U18" s="542"/>
    </row>
    <row r="19" spans="1:21">
      <c r="A19" s="479"/>
      <c r="B19" s="4" t="s">
        <v>59</v>
      </c>
      <c r="C19" s="703">
        <v>1.2551624442292218E-3</v>
      </c>
      <c r="D19" s="704">
        <v>0</v>
      </c>
      <c r="E19" s="704">
        <v>0</v>
      </c>
      <c r="F19" s="704">
        <v>0</v>
      </c>
      <c r="G19" s="704">
        <v>0</v>
      </c>
      <c r="H19" s="704">
        <v>0</v>
      </c>
      <c r="I19" s="704">
        <v>0</v>
      </c>
      <c r="J19" s="705">
        <v>6.1488893882005518E-4</v>
      </c>
      <c r="K19" s="703">
        <v>0</v>
      </c>
      <c r="L19" s="704">
        <v>0</v>
      </c>
      <c r="M19" s="704">
        <v>5.0530098159394389E-5</v>
      </c>
      <c r="N19" s="704">
        <v>0</v>
      </c>
      <c r="O19" s="703">
        <v>2.8723450090611848E-5</v>
      </c>
      <c r="P19" s="703">
        <v>2.2308068991784103E-2</v>
      </c>
      <c r="Q19" s="704">
        <v>0</v>
      </c>
      <c r="R19" s="704">
        <v>0</v>
      </c>
      <c r="S19" s="714">
        <v>1.5651841954571484E-2</v>
      </c>
      <c r="T19" s="543"/>
      <c r="U19" s="550"/>
    </row>
    <row r="20" spans="1:21">
      <c r="A20" s="479"/>
      <c r="B20" s="480" t="s">
        <v>105</v>
      </c>
      <c r="C20" s="684">
        <v>0</v>
      </c>
      <c r="D20" s="685">
        <v>0</v>
      </c>
      <c r="E20" s="685">
        <v>0</v>
      </c>
      <c r="F20" s="685">
        <v>0</v>
      </c>
      <c r="G20" s="685">
        <v>0</v>
      </c>
      <c r="H20" s="685">
        <v>0</v>
      </c>
      <c r="I20" s="685">
        <v>0</v>
      </c>
      <c r="J20" s="682">
        <v>0</v>
      </c>
      <c r="K20" s="683">
        <v>0</v>
      </c>
      <c r="L20" s="685">
        <v>-1.6698885137143134E-2</v>
      </c>
      <c r="M20" s="685">
        <v>-0.2644230960085926</v>
      </c>
      <c r="N20" s="685">
        <v>0</v>
      </c>
      <c r="O20" s="683">
        <v>-0.15366957508804704</v>
      </c>
      <c r="P20" s="683">
        <v>-0.51107514190840209</v>
      </c>
      <c r="Q20" s="685">
        <v>0</v>
      </c>
      <c r="R20" s="685">
        <v>0</v>
      </c>
      <c r="S20" s="715">
        <v>-0.39672357709590012</v>
      </c>
      <c r="T20" s="510"/>
      <c r="U20" s="528"/>
    </row>
    <row r="21" spans="1:21">
      <c r="A21" s="479"/>
      <c r="B21" s="4" t="s">
        <v>61</v>
      </c>
      <c r="C21" s="703">
        <v>4.4752115236696734E-4</v>
      </c>
      <c r="D21" s="704">
        <v>0</v>
      </c>
      <c r="E21" s="704">
        <v>2.1851354690494793E-3</v>
      </c>
      <c r="F21" s="704">
        <v>0</v>
      </c>
      <c r="G21" s="704">
        <v>0</v>
      </c>
      <c r="H21" s="704">
        <v>0</v>
      </c>
      <c r="I21" s="704">
        <v>0</v>
      </c>
      <c r="J21" s="705">
        <v>7.9878988246277164E-4</v>
      </c>
      <c r="K21" s="703">
        <v>0</v>
      </c>
      <c r="L21" s="704">
        <v>0</v>
      </c>
      <c r="M21" s="704">
        <v>2.8474328139705112E-3</v>
      </c>
      <c r="N21" s="704">
        <v>3.0191542627519189E-4</v>
      </c>
      <c r="O21" s="703">
        <v>1.6841915227443058E-3</v>
      </c>
      <c r="P21" s="703">
        <v>0</v>
      </c>
      <c r="Q21" s="704">
        <v>0</v>
      </c>
      <c r="R21" s="704">
        <v>0</v>
      </c>
      <c r="S21" s="714">
        <v>0</v>
      </c>
      <c r="T21" s="536"/>
      <c r="U21" s="542"/>
    </row>
    <row r="22" spans="1:21">
      <c r="A22" s="479"/>
      <c r="B22" s="4" t="s">
        <v>63</v>
      </c>
      <c r="C22" s="703">
        <v>1.5902819440207104E-4</v>
      </c>
      <c r="D22" s="704">
        <v>0</v>
      </c>
      <c r="E22" s="704">
        <v>9.3835649466505233E-5</v>
      </c>
      <c r="F22" s="704">
        <v>0</v>
      </c>
      <c r="G22" s="704">
        <v>0</v>
      </c>
      <c r="H22" s="704">
        <v>0</v>
      </c>
      <c r="I22" s="704">
        <v>0</v>
      </c>
      <c r="J22" s="705">
        <v>1.0197994907021035E-4</v>
      </c>
      <c r="K22" s="703">
        <v>0</v>
      </c>
      <c r="L22" s="704">
        <v>0</v>
      </c>
      <c r="M22" s="704">
        <v>3.666239344231615E-3</v>
      </c>
      <c r="N22" s="704">
        <v>0</v>
      </c>
      <c r="O22" s="703">
        <v>2.084045878796615E-3</v>
      </c>
      <c r="P22" s="703">
        <v>0</v>
      </c>
      <c r="Q22" s="704">
        <v>0</v>
      </c>
      <c r="R22" s="704">
        <v>0</v>
      </c>
      <c r="S22" s="714">
        <v>0</v>
      </c>
      <c r="T22" s="543"/>
      <c r="U22" s="550"/>
    </row>
    <row r="23" spans="1:21">
      <c r="A23" s="479"/>
      <c r="B23" s="480" t="s">
        <v>91</v>
      </c>
      <c r="C23" s="684">
        <v>-2.8849295796489632E-2</v>
      </c>
      <c r="D23" s="685">
        <v>0</v>
      </c>
      <c r="E23" s="685">
        <v>-0.20912998195829741</v>
      </c>
      <c r="F23" s="685">
        <v>0</v>
      </c>
      <c r="G23" s="685">
        <v>0</v>
      </c>
      <c r="H23" s="685">
        <v>0</v>
      </c>
      <c r="I23" s="685">
        <v>0</v>
      </c>
      <c r="J23" s="682">
        <v>-6.9680993339256134E-2</v>
      </c>
      <c r="K23" s="683">
        <v>0</v>
      </c>
      <c r="L23" s="685">
        <v>0</v>
      </c>
      <c r="M23" s="685">
        <v>8.1880653026110375E-2</v>
      </c>
      <c r="N23" s="685">
        <v>-3.0191542627519188E-2</v>
      </c>
      <c r="O23" s="683">
        <v>3.9985435605230921E-2</v>
      </c>
      <c r="P23" s="683">
        <v>0</v>
      </c>
      <c r="Q23" s="685">
        <v>0</v>
      </c>
      <c r="R23" s="685">
        <v>0</v>
      </c>
      <c r="S23" s="715">
        <v>0</v>
      </c>
      <c r="T23" s="510"/>
      <c r="U23" s="528"/>
    </row>
    <row r="24" spans="1:21">
      <c r="A24" s="479"/>
      <c r="B24" s="4" t="s">
        <v>47</v>
      </c>
      <c r="C24" s="703">
        <v>0.87969661720619252</v>
      </c>
      <c r="D24" s="704">
        <v>0.87002319288751451</v>
      </c>
      <c r="E24" s="704">
        <v>0.67446624860907456</v>
      </c>
      <c r="F24" s="704">
        <v>0.70115502230186399</v>
      </c>
      <c r="G24" s="704">
        <v>0.15801610793694501</v>
      </c>
      <c r="H24" s="704">
        <v>0</v>
      </c>
      <c r="I24" s="704">
        <v>0</v>
      </c>
      <c r="J24" s="705">
        <v>0.75719787048726306</v>
      </c>
      <c r="K24" s="703">
        <v>0</v>
      </c>
      <c r="L24" s="704">
        <v>0</v>
      </c>
      <c r="M24" s="704">
        <v>0</v>
      </c>
      <c r="N24" s="704">
        <v>0</v>
      </c>
      <c r="O24" s="703">
        <v>0</v>
      </c>
      <c r="P24" s="703">
        <v>0</v>
      </c>
      <c r="Q24" s="704">
        <v>0</v>
      </c>
      <c r="R24" s="704">
        <v>0</v>
      </c>
      <c r="S24" s="714">
        <v>0</v>
      </c>
      <c r="T24" s="536"/>
      <c r="U24" s="542"/>
    </row>
    <row r="25" spans="1:21">
      <c r="A25" s="479"/>
      <c r="B25" s="4" t="s">
        <v>65</v>
      </c>
      <c r="C25" s="703">
        <v>0.87265047616398217</v>
      </c>
      <c r="D25" s="704">
        <v>0.87569424832909726</v>
      </c>
      <c r="E25" s="704">
        <v>0.70363324692700058</v>
      </c>
      <c r="F25" s="704">
        <v>0.77799988894441663</v>
      </c>
      <c r="G25" s="704">
        <v>0.12818612213667449</v>
      </c>
      <c r="H25" s="704">
        <v>0</v>
      </c>
      <c r="I25" s="704">
        <v>0</v>
      </c>
      <c r="J25" s="705">
        <v>0.75045571351549423</v>
      </c>
      <c r="K25" s="703">
        <v>0</v>
      </c>
      <c r="L25" s="704">
        <v>0</v>
      </c>
      <c r="M25" s="704">
        <v>0</v>
      </c>
      <c r="N25" s="704">
        <v>0</v>
      </c>
      <c r="O25" s="703">
        <v>0</v>
      </c>
      <c r="P25" s="703">
        <v>0</v>
      </c>
      <c r="Q25" s="704">
        <v>0</v>
      </c>
      <c r="R25" s="704">
        <v>0</v>
      </c>
      <c r="S25" s="714">
        <v>0</v>
      </c>
      <c r="T25" s="543"/>
      <c r="U25" s="550"/>
    </row>
    <row r="26" spans="1:21">
      <c r="A26" s="479"/>
      <c r="B26" s="480" t="s">
        <v>89</v>
      </c>
      <c r="C26" s="684">
        <v>-0.70461410422103521</v>
      </c>
      <c r="D26" s="685">
        <v>0.56710554415827508</v>
      </c>
      <c r="E26" s="685">
        <v>2.9166998317926018</v>
      </c>
      <c r="F26" s="694">
        <v>7.6844866642552638</v>
      </c>
      <c r="G26" s="695">
        <v>-2.982998580027052</v>
      </c>
      <c r="H26" s="685">
        <v>0</v>
      </c>
      <c r="I26" s="685">
        <v>0</v>
      </c>
      <c r="J26" s="682">
        <v>-0.67421569717688312</v>
      </c>
      <c r="K26" s="683">
        <v>0</v>
      </c>
      <c r="L26" s="685">
        <v>0</v>
      </c>
      <c r="M26" s="685">
        <v>0</v>
      </c>
      <c r="N26" s="685">
        <v>0</v>
      </c>
      <c r="O26" s="683">
        <v>0</v>
      </c>
      <c r="P26" s="683">
        <v>0</v>
      </c>
      <c r="Q26" s="685">
        <v>0</v>
      </c>
      <c r="R26" s="685">
        <v>0</v>
      </c>
      <c r="S26" s="715">
        <v>0</v>
      </c>
      <c r="T26" s="510"/>
      <c r="U26" s="528"/>
    </row>
    <row r="27" spans="1:21">
      <c r="A27" s="479"/>
      <c r="B27" s="4" t="s">
        <v>67</v>
      </c>
      <c r="C27" s="703">
        <v>4.1856990193018792E-2</v>
      </c>
      <c r="D27" s="704">
        <v>0</v>
      </c>
      <c r="E27" s="704">
        <v>2.598820703210308E-2</v>
      </c>
      <c r="F27" s="704">
        <v>3.7689176291852512E-2</v>
      </c>
      <c r="G27" s="704">
        <v>8.466992496730226E-3</v>
      </c>
      <c r="H27" s="704">
        <v>0</v>
      </c>
      <c r="I27" s="704">
        <v>0</v>
      </c>
      <c r="J27" s="705">
        <v>3.3107268332305768E-2</v>
      </c>
      <c r="K27" s="703">
        <v>0</v>
      </c>
      <c r="L27" s="704">
        <v>0</v>
      </c>
      <c r="M27" s="704">
        <v>0</v>
      </c>
      <c r="N27" s="704">
        <v>0</v>
      </c>
      <c r="O27" s="703">
        <v>0</v>
      </c>
      <c r="P27" s="703">
        <v>0</v>
      </c>
      <c r="Q27" s="704">
        <v>0</v>
      </c>
      <c r="R27" s="704">
        <v>0</v>
      </c>
      <c r="S27" s="714">
        <v>0</v>
      </c>
      <c r="T27" s="536"/>
      <c r="U27" s="542"/>
    </row>
    <row r="28" spans="1:21">
      <c r="A28" s="479"/>
      <c r="B28" s="4" t="s">
        <v>69</v>
      </c>
      <c r="C28" s="703">
        <v>3.2557190678869814E-2</v>
      </c>
      <c r="D28" s="704">
        <v>0</v>
      </c>
      <c r="E28" s="704">
        <v>2.6465423530395518E-2</v>
      </c>
      <c r="F28" s="704">
        <v>4.1423732578155369E-2</v>
      </c>
      <c r="G28" s="704">
        <v>7.9384056238343461E-3</v>
      </c>
      <c r="H28" s="704">
        <v>0</v>
      </c>
      <c r="I28" s="704">
        <v>0</v>
      </c>
      <c r="J28" s="705">
        <v>2.8297416962112177E-2</v>
      </c>
      <c r="K28" s="703">
        <v>0</v>
      </c>
      <c r="L28" s="704">
        <v>0</v>
      </c>
      <c r="M28" s="704">
        <v>0</v>
      </c>
      <c r="N28" s="704">
        <v>0</v>
      </c>
      <c r="O28" s="703">
        <v>0</v>
      </c>
      <c r="P28" s="703">
        <v>0</v>
      </c>
      <c r="Q28" s="704">
        <v>0</v>
      </c>
      <c r="R28" s="704">
        <v>0</v>
      </c>
      <c r="S28" s="714">
        <v>0</v>
      </c>
      <c r="T28" s="543"/>
      <c r="U28" s="550"/>
    </row>
    <row r="29" spans="1:21">
      <c r="A29" s="479"/>
      <c r="B29" s="480" t="s">
        <v>93</v>
      </c>
      <c r="C29" s="684">
        <v>-0.92997995141489775</v>
      </c>
      <c r="D29" s="685">
        <v>0</v>
      </c>
      <c r="E29" s="685">
        <v>4.7721649829243762E-2</v>
      </c>
      <c r="F29" s="685">
        <v>0.37345562863028564</v>
      </c>
      <c r="G29" s="685">
        <v>-5.2858687289587987E-2</v>
      </c>
      <c r="H29" s="685">
        <v>0</v>
      </c>
      <c r="I29" s="685">
        <v>0</v>
      </c>
      <c r="J29" s="682">
        <v>-0.48098513701935913</v>
      </c>
      <c r="K29" s="683">
        <v>0</v>
      </c>
      <c r="L29" s="685">
        <v>0</v>
      </c>
      <c r="M29" s="685">
        <v>0</v>
      </c>
      <c r="N29" s="685">
        <v>0</v>
      </c>
      <c r="O29" s="683">
        <v>0</v>
      </c>
      <c r="P29" s="683">
        <v>0</v>
      </c>
      <c r="Q29" s="685">
        <v>0</v>
      </c>
      <c r="R29" s="685">
        <v>0</v>
      </c>
      <c r="S29" s="715">
        <v>0</v>
      </c>
      <c r="T29" s="510"/>
      <c r="U29" s="528"/>
    </row>
    <row r="30" spans="1:21">
      <c r="A30" s="479"/>
      <c r="B30" s="4" t="s">
        <v>71</v>
      </c>
      <c r="C30" s="705">
        <v>3.9951390662089442E-2</v>
      </c>
      <c r="D30" s="704">
        <v>0.12823734054889835</v>
      </c>
      <c r="E30" s="704">
        <v>0.28792936698592958</v>
      </c>
      <c r="F30" s="704">
        <v>0.17338968855300832</v>
      </c>
      <c r="G30" s="704">
        <v>0.8335168995663248</v>
      </c>
      <c r="H30" s="704">
        <v>0</v>
      </c>
      <c r="I30" s="704">
        <v>0</v>
      </c>
      <c r="J30" s="705">
        <v>0.17593190648150867</v>
      </c>
      <c r="K30" s="703">
        <v>0</v>
      </c>
      <c r="L30" s="704">
        <v>0</v>
      </c>
      <c r="M30" s="704">
        <v>0</v>
      </c>
      <c r="N30" s="704">
        <v>0</v>
      </c>
      <c r="O30" s="703">
        <v>0</v>
      </c>
      <c r="P30" s="703">
        <v>0</v>
      </c>
      <c r="Q30" s="704">
        <v>0</v>
      </c>
      <c r="R30" s="704">
        <v>0</v>
      </c>
      <c r="S30" s="714">
        <v>0</v>
      </c>
      <c r="T30" s="536"/>
      <c r="U30" s="542"/>
    </row>
    <row r="31" spans="1:21">
      <c r="A31" s="479"/>
      <c r="B31" s="4" t="s">
        <v>73</v>
      </c>
      <c r="C31" s="705">
        <v>5.8331246928348214E-2</v>
      </c>
      <c r="D31" s="704">
        <v>0.12359973642097336</v>
      </c>
      <c r="E31" s="704">
        <v>0.23793795467848483</v>
      </c>
      <c r="F31" s="704">
        <v>0.17580098839469155</v>
      </c>
      <c r="G31" s="704">
        <v>0.86387547223949113</v>
      </c>
      <c r="H31" s="704">
        <v>0</v>
      </c>
      <c r="I31" s="704">
        <v>0</v>
      </c>
      <c r="J31" s="705">
        <v>0.19511773863400311</v>
      </c>
      <c r="K31" s="703">
        <v>0</v>
      </c>
      <c r="L31" s="704">
        <v>0</v>
      </c>
      <c r="M31" s="704">
        <v>0</v>
      </c>
      <c r="N31" s="704">
        <v>0</v>
      </c>
      <c r="O31" s="703">
        <v>0</v>
      </c>
      <c r="P31" s="703">
        <v>0</v>
      </c>
      <c r="Q31" s="704">
        <v>0</v>
      </c>
      <c r="R31" s="704">
        <v>0</v>
      </c>
      <c r="S31" s="714">
        <v>0</v>
      </c>
      <c r="T31" s="543"/>
      <c r="U31" s="550"/>
    </row>
    <row r="32" spans="1:21">
      <c r="A32" s="479"/>
      <c r="B32" s="480" t="s">
        <v>99</v>
      </c>
      <c r="C32" s="694">
        <v>1.8379856266258772</v>
      </c>
      <c r="D32" s="685">
        <v>-0.46376041279249935</v>
      </c>
      <c r="E32" s="685">
        <v>-4.9991412307444749</v>
      </c>
      <c r="F32" s="694">
        <v>0.24112998416832288</v>
      </c>
      <c r="G32" s="695">
        <v>3.0358572673166329</v>
      </c>
      <c r="H32" s="685">
        <v>0</v>
      </c>
      <c r="I32" s="685">
        <v>0</v>
      </c>
      <c r="J32" s="682">
        <v>1.9185832152494449</v>
      </c>
      <c r="K32" s="683">
        <v>0</v>
      </c>
      <c r="L32" s="685">
        <v>0</v>
      </c>
      <c r="M32" s="685">
        <v>0</v>
      </c>
      <c r="N32" s="685">
        <v>0</v>
      </c>
      <c r="O32" s="683">
        <v>0</v>
      </c>
      <c r="P32" s="683">
        <v>0</v>
      </c>
      <c r="Q32" s="685">
        <v>0</v>
      </c>
      <c r="R32" s="685">
        <v>0</v>
      </c>
      <c r="S32" s="715">
        <v>0</v>
      </c>
      <c r="T32" s="510"/>
      <c r="U32" s="528"/>
    </row>
    <row r="33" spans="1:21">
      <c r="A33" s="479"/>
      <c r="B33" s="4" t="s">
        <v>75</v>
      </c>
      <c r="C33" s="703">
        <v>1.3135869719408744E-2</v>
      </c>
      <c r="D33" s="704">
        <v>1.7394665635871666E-3</v>
      </c>
      <c r="E33" s="704">
        <v>1.1616177372892812E-2</v>
      </c>
      <c r="F33" s="704">
        <v>8.7766112853275166E-2</v>
      </c>
      <c r="G33" s="704">
        <v>0</v>
      </c>
      <c r="H33" s="704">
        <v>0</v>
      </c>
      <c r="I33" s="704">
        <v>0</v>
      </c>
      <c r="J33" s="705">
        <v>2.0641887593826763E-2</v>
      </c>
      <c r="K33" s="703">
        <v>0</v>
      </c>
      <c r="L33" s="704">
        <v>0</v>
      </c>
      <c r="M33" s="704">
        <v>0</v>
      </c>
      <c r="N33" s="704">
        <v>0</v>
      </c>
      <c r="O33" s="703">
        <v>0</v>
      </c>
      <c r="P33" s="703">
        <v>0</v>
      </c>
      <c r="Q33" s="704">
        <v>0</v>
      </c>
      <c r="R33" s="704">
        <v>0</v>
      </c>
      <c r="S33" s="714">
        <v>0</v>
      </c>
      <c r="T33" s="536"/>
      <c r="U33" s="542"/>
    </row>
    <row r="34" spans="1:21">
      <c r="A34" s="479"/>
      <c r="B34" s="4" t="s">
        <v>77</v>
      </c>
      <c r="C34" s="703">
        <v>6.2963065995307911E-3</v>
      </c>
      <c r="D34" s="704">
        <v>0</v>
      </c>
      <c r="E34" s="704">
        <v>3.1963374864119071E-2</v>
      </c>
      <c r="F34" s="704">
        <v>4.7753900827364098E-3</v>
      </c>
      <c r="G34" s="704">
        <v>0</v>
      </c>
      <c r="H34" s="704">
        <v>0</v>
      </c>
      <c r="I34" s="704">
        <v>0</v>
      </c>
      <c r="J34" s="705">
        <v>1.0909116370909957E-2</v>
      </c>
      <c r="K34" s="703">
        <v>0</v>
      </c>
      <c r="L34" s="704">
        <v>0</v>
      </c>
      <c r="M34" s="704">
        <v>0</v>
      </c>
      <c r="N34" s="704">
        <v>0</v>
      </c>
      <c r="O34" s="703">
        <v>0</v>
      </c>
      <c r="P34" s="703">
        <v>0</v>
      </c>
      <c r="Q34" s="704">
        <v>0</v>
      </c>
      <c r="R34" s="704">
        <v>0</v>
      </c>
      <c r="S34" s="714">
        <v>0</v>
      </c>
      <c r="T34" s="543"/>
      <c r="U34" s="550"/>
    </row>
    <row r="35" spans="1:21">
      <c r="A35" s="479"/>
      <c r="B35" s="480" t="s">
        <v>101</v>
      </c>
      <c r="C35" s="684">
        <v>-0.68395631198779527</v>
      </c>
      <c r="D35" s="685">
        <v>-0.17394665635871664</v>
      </c>
      <c r="E35" s="685">
        <v>2.0347197491226257</v>
      </c>
      <c r="F35" s="685">
        <v>-8.2990722770538756</v>
      </c>
      <c r="G35" s="685">
        <v>0</v>
      </c>
      <c r="H35" s="685">
        <v>0</v>
      </c>
      <c r="I35" s="685">
        <v>0</v>
      </c>
      <c r="J35" s="682">
        <v>-0.97327712229168062</v>
      </c>
      <c r="K35" s="683">
        <v>0</v>
      </c>
      <c r="L35" s="685">
        <v>0</v>
      </c>
      <c r="M35" s="685">
        <v>0</v>
      </c>
      <c r="N35" s="685">
        <v>0</v>
      </c>
      <c r="O35" s="683">
        <v>0</v>
      </c>
      <c r="P35" s="683">
        <v>0</v>
      </c>
      <c r="Q35" s="685">
        <v>0</v>
      </c>
      <c r="R35" s="685">
        <v>0</v>
      </c>
      <c r="S35" s="715">
        <v>0</v>
      </c>
      <c r="T35" s="510"/>
      <c r="U35" s="528"/>
    </row>
    <row r="36" spans="1:21">
      <c r="A36" s="479"/>
      <c r="B36" s="4" t="s">
        <v>79</v>
      </c>
      <c r="C36" s="703">
        <v>2.535913221929053E-2</v>
      </c>
      <c r="D36" s="704">
        <v>0</v>
      </c>
      <c r="E36" s="704">
        <v>0</v>
      </c>
      <c r="F36" s="704">
        <v>0</v>
      </c>
      <c r="G36" s="704">
        <v>0</v>
      </c>
      <c r="H36" s="704">
        <v>0</v>
      </c>
      <c r="I36" s="704">
        <v>0</v>
      </c>
      <c r="J36" s="705">
        <v>1.312106710509576E-2</v>
      </c>
      <c r="K36" s="703">
        <v>0</v>
      </c>
      <c r="L36" s="704">
        <v>0</v>
      </c>
      <c r="M36" s="704">
        <v>0</v>
      </c>
      <c r="N36" s="704">
        <v>0</v>
      </c>
      <c r="O36" s="703">
        <v>0</v>
      </c>
      <c r="P36" s="703">
        <v>0</v>
      </c>
      <c r="Q36" s="704">
        <v>0</v>
      </c>
      <c r="R36" s="704">
        <v>0</v>
      </c>
      <c r="S36" s="714">
        <v>0</v>
      </c>
      <c r="T36" s="536"/>
      <c r="U36" s="542"/>
    </row>
    <row r="37" spans="1:21">
      <c r="A37" s="479"/>
      <c r="B37" s="4" t="s">
        <v>81</v>
      </c>
      <c r="C37" s="703">
        <v>3.0164779629269018E-2</v>
      </c>
      <c r="D37" s="704">
        <v>7.0601524992939852E-4</v>
      </c>
      <c r="E37" s="704">
        <v>0</v>
      </c>
      <c r="F37" s="704">
        <v>0</v>
      </c>
      <c r="G37" s="704">
        <v>0</v>
      </c>
      <c r="H37" s="704">
        <v>0</v>
      </c>
      <c r="I37" s="704">
        <v>0</v>
      </c>
      <c r="J37" s="705">
        <v>1.5220014517480493E-2</v>
      </c>
      <c r="K37" s="703">
        <v>0</v>
      </c>
      <c r="L37" s="704">
        <v>0</v>
      </c>
      <c r="M37" s="704">
        <v>0</v>
      </c>
      <c r="N37" s="704">
        <v>0</v>
      </c>
      <c r="O37" s="703">
        <v>0</v>
      </c>
      <c r="P37" s="703">
        <v>0</v>
      </c>
      <c r="Q37" s="704">
        <v>0</v>
      </c>
      <c r="R37" s="704">
        <v>0</v>
      </c>
      <c r="S37" s="714">
        <v>0</v>
      </c>
      <c r="T37" s="543"/>
      <c r="U37" s="550"/>
    </row>
    <row r="38" spans="1:21">
      <c r="A38" s="479"/>
      <c r="B38" s="480" t="s">
        <v>107</v>
      </c>
      <c r="C38" s="684">
        <v>0.48056474099784885</v>
      </c>
      <c r="D38" s="685">
        <v>0</v>
      </c>
      <c r="E38" s="685">
        <v>0</v>
      </c>
      <c r="F38" s="685">
        <v>0</v>
      </c>
      <c r="G38" s="685">
        <v>0</v>
      </c>
      <c r="H38" s="685">
        <v>0</v>
      </c>
      <c r="I38" s="685">
        <v>0</v>
      </c>
      <c r="J38" s="682">
        <v>0.20989474123847326</v>
      </c>
      <c r="K38" s="683">
        <v>0</v>
      </c>
      <c r="L38" s="685">
        <v>0</v>
      </c>
      <c r="M38" s="685">
        <v>0</v>
      </c>
      <c r="N38" s="685">
        <v>0</v>
      </c>
      <c r="O38" s="683">
        <v>0</v>
      </c>
      <c r="P38" s="683">
        <v>0</v>
      </c>
      <c r="Q38" s="685">
        <v>0</v>
      </c>
      <c r="R38" s="685">
        <v>0</v>
      </c>
      <c r="S38" s="715">
        <v>0</v>
      </c>
      <c r="T38" s="551"/>
      <c r="U38" s="554"/>
    </row>
    <row r="39" spans="1:21">
      <c r="A39" s="479"/>
      <c r="B39" s="4" t="s">
        <v>83</v>
      </c>
      <c r="C39" s="703">
        <v>0</v>
      </c>
      <c r="D39" s="704">
        <v>0</v>
      </c>
      <c r="E39" s="704">
        <v>0</v>
      </c>
      <c r="F39" s="704">
        <v>0</v>
      </c>
      <c r="G39" s="704">
        <v>0</v>
      </c>
      <c r="H39" s="704">
        <v>0</v>
      </c>
      <c r="I39" s="704">
        <v>0</v>
      </c>
      <c r="J39" s="705">
        <v>0</v>
      </c>
      <c r="K39" s="703">
        <v>0</v>
      </c>
      <c r="L39" s="704">
        <v>0</v>
      </c>
      <c r="M39" s="704">
        <v>0</v>
      </c>
      <c r="N39" s="704">
        <v>0</v>
      </c>
      <c r="O39" s="703">
        <v>0</v>
      </c>
      <c r="P39" s="703">
        <v>0</v>
      </c>
      <c r="Q39" s="704">
        <v>0</v>
      </c>
      <c r="R39" s="704">
        <v>0</v>
      </c>
      <c r="S39" s="714">
        <v>0</v>
      </c>
      <c r="T39" s="506"/>
      <c r="U39" s="527"/>
    </row>
    <row r="40" spans="1:21">
      <c r="A40" s="479"/>
      <c r="B40" s="4" t="s">
        <v>85</v>
      </c>
      <c r="C40" s="711">
        <v>0</v>
      </c>
      <c r="D40" s="704">
        <v>0</v>
      </c>
      <c r="E40" s="704">
        <v>0</v>
      </c>
      <c r="F40" s="704">
        <v>0</v>
      </c>
      <c r="G40" s="704">
        <v>0</v>
      </c>
      <c r="H40" s="704">
        <v>0</v>
      </c>
      <c r="I40" s="704">
        <v>0</v>
      </c>
      <c r="J40" s="712">
        <v>0</v>
      </c>
      <c r="K40" s="703">
        <v>0</v>
      </c>
      <c r="L40" s="704">
        <v>0</v>
      </c>
      <c r="M40" s="704">
        <v>0</v>
      </c>
      <c r="N40" s="704">
        <v>0</v>
      </c>
      <c r="O40" s="703">
        <v>0</v>
      </c>
      <c r="P40" s="703">
        <v>0</v>
      </c>
      <c r="Q40" s="704">
        <v>0</v>
      </c>
      <c r="R40" s="704">
        <v>0</v>
      </c>
      <c r="S40" s="714">
        <v>0</v>
      </c>
      <c r="T40" s="506"/>
      <c r="U40" s="527"/>
    </row>
    <row r="41" spans="1:21">
      <c r="A41" s="609"/>
      <c r="B41" s="481" t="s">
        <v>109</v>
      </c>
      <c r="C41" s="696">
        <v>0</v>
      </c>
      <c r="D41" s="697">
        <v>0</v>
      </c>
      <c r="E41" s="697">
        <v>0</v>
      </c>
      <c r="F41" s="697">
        <v>0</v>
      </c>
      <c r="G41" s="697">
        <v>0</v>
      </c>
      <c r="H41" s="697">
        <v>0</v>
      </c>
      <c r="I41" s="697">
        <v>0</v>
      </c>
      <c r="J41" s="698">
        <v>0</v>
      </c>
      <c r="K41" s="699">
        <v>0</v>
      </c>
      <c r="L41" s="697">
        <v>0</v>
      </c>
      <c r="M41" s="697">
        <v>0</v>
      </c>
      <c r="N41" s="697">
        <v>0</v>
      </c>
      <c r="O41" s="699">
        <v>0</v>
      </c>
      <c r="P41" s="699">
        <v>0</v>
      </c>
      <c r="Q41" s="697">
        <v>0</v>
      </c>
      <c r="R41" s="697">
        <v>0</v>
      </c>
      <c r="S41" s="716">
        <v>0</v>
      </c>
      <c r="T41" s="510"/>
      <c r="U41" s="528"/>
    </row>
    <row r="42" spans="1:21">
      <c r="A42" s="478" t="s">
        <v>129</v>
      </c>
      <c r="B42" s="3" t="s">
        <v>39</v>
      </c>
      <c r="C42" s="536">
        <v>0.9626888781061107</v>
      </c>
      <c r="D42" s="537">
        <v>0</v>
      </c>
      <c r="E42" s="537">
        <v>0.85306837998840901</v>
      </c>
      <c r="F42" s="537">
        <v>0.88084028714061868</v>
      </c>
      <c r="G42" s="537">
        <v>0.8179622043419631</v>
      </c>
      <c r="H42" s="538">
        <v>0.90560282950171644</v>
      </c>
      <c r="I42" s="537">
        <v>0</v>
      </c>
      <c r="J42" s="539">
        <v>0.88547977892683327</v>
      </c>
      <c r="K42" s="536">
        <v>0</v>
      </c>
      <c r="L42" s="537">
        <v>0.65511746791385683</v>
      </c>
      <c r="M42" s="538">
        <v>0.62809597892586833</v>
      </c>
      <c r="N42" s="540">
        <v>0.73902445482453616</v>
      </c>
      <c r="O42" s="536">
        <v>0.70167566904594736</v>
      </c>
      <c r="P42" s="536">
        <v>0</v>
      </c>
      <c r="Q42" s="537">
        <v>0</v>
      </c>
      <c r="R42" s="537">
        <v>0</v>
      </c>
      <c r="S42" s="541">
        <v>0</v>
      </c>
      <c r="T42" s="536"/>
      <c r="U42" s="542"/>
    </row>
    <row r="43" spans="1:21">
      <c r="A43" s="479"/>
      <c r="B43" s="4" t="s">
        <v>41</v>
      </c>
      <c r="C43" s="543">
        <v>0.95641498424553628</v>
      </c>
      <c r="D43" s="544">
        <v>0</v>
      </c>
      <c r="E43" s="544">
        <v>0.82467423456672839</v>
      </c>
      <c r="F43" s="544">
        <v>0.83966279377003994</v>
      </c>
      <c r="G43" s="544">
        <v>0.79532107006105768</v>
      </c>
      <c r="H43" s="545">
        <v>0.87433175302626809</v>
      </c>
      <c r="I43" s="544">
        <v>0</v>
      </c>
      <c r="J43" s="546">
        <v>0.86109874747843862</v>
      </c>
      <c r="K43" s="543">
        <v>0</v>
      </c>
      <c r="L43" s="547">
        <v>0.54985675611743368</v>
      </c>
      <c r="M43" s="545">
        <v>0.61055086484268717</v>
      </c>
      <c r="N43" s="548">
        <v>0.74400835919864561</v>
      </c>
      <c r="O43" s="543">
        <v>0.6824640636964403</v>
      </c>
      <c r="P43" s="543">
        <v>0</v>
      </c>
      <c r="Q43" s="547">
        <v>0</v>
      </c>
      <c r="R43" s="547">
        <v>0</v>
      </c>
      <c r="S43" s="549">
        <v>0</v>
      </c>
      <c r="T43" s="543"/>
      <c r="U43" s="550"/>
    </row>
    <row r="44" spans="1:21">
      <c r="A44" s="479"/>
      <c r="B44" s="505" t="s">
        <v>87</v>
      </c>
      <c r="C44" s="510">
        <v>-0.62738938605744199</v>
      </c>
      <c r="D44" s="512">
        <v>0</v>
      </c>
      <c r="E44" s="512">
        <v>-2.8394145421680617</v>
      </c>
      <c r="F44" s="512">
        <v>-4.1177493370578748</v>
      </c>
      <c r="G44" s="512">
        <v>-2.2641134280905417</v>
      </c>
      <c r="H44" s="529">
        <v>-3.1271076475448356</v>
      </c>
      <c r="I44" s="512">
        <v>0</v>
      </c>
      <c r="J44" s="514">
        <v>-2.4381031448394652</v>
      </c>
      <c r="K44" s="510">
        <v>0</v>
      </c>
      <c r="L44" s="511">
        <v>-10.526071179642315</v>
      </c>
      <c r="M44" s="529">
        <v>-1.7545114083181157</v>
      </c>
      <c r="N44" s="530">
        <v>0.49839043741094491</v>
      </c>
      <c r="O44" s="510">
        <v>-1.9211605349507055</v>
      </c>
      <c r="P44" s="510">
        <v>0</v>
      </c>
      <c r="Q44" s="511">
        <v>0</v>
      </c>
      <c r="R44" s="511">
        <v>0</v>
      </c>
      <c r="S44" s="517">
        <v>0</v>
      </c>
      <c r="T44" s="510"/>
      <c r="U44" s="528"/>
    </row>
    <row r="45" spans="1:21">
      <c r="A45" s="479"/>
      <c r="B45" s="4" t="s">
        <v>43</v>
      </c>
      <c r="C45" s="616">
        <v>2.2317912605853422E-2</v>
      </c>
      <c r="D45" s="658">
        <v>0</v>
      </c>
      <c r="E45" s="658">
        <v>6.4480858518225506E-2</v>
      </c>
      <c r="F45" s="658">
        <v>5.8455708195168168E-2</v>
      </c>
      <c r="G45" s="658">
        <v>0.10383261009886689</v>
      </c>
      <c r="H45" s="658">
        <v>1.6839696244668679E-2</v>
      </c>
      <c r="I45" s="658">
        <v>0</v>
      </c>
      <c r="J45" s="667">
        <v>5.1324821444661689E-2</v>
      </c>
      <c r="K45" s="616">
        <v>0</v>
      </c>
      <c r="L45" s="653">
        <v>0.10530780944093975</v>
      </c>
      <c r="M45" s="665">
        <v>0.21423935555916124</v>
      </c>
      <c r="N45" s="653">
        <v>0.13356312135829332</v>
      </c>
      <c r="O45" s="616">
        <v>0.14487183077780363</v>
      </c>
      <c r="P45" s="616">
        <v>0</v>
      </c>
      <c r="Q45" s="653">
        <v>0</v>
      </c>
      <c r="R45" s="653">
        <v>0</v>
      </c>
      <c r="S45" s="717">
        <v>0</v>
      </c>
      <c r="T45" s="536"/>
      <c r="U45" s="542"/>
    </row>
    <row r="46" spans="1:21">
      <c r="A46" s="414"/>
      <c r="B46" s="4" t="s">
        <v>45</v>
      </c>
      <c r="C46" s="616">
        <v>2.506243435640098E-2</v>
      </c>
      <c r="D46" s="658">
        <v>0</v>
      </c>
      <c r="E46" s="658">
        <v>6.5531785310396259E-2</v>
      </c>
      <c r="F46" s="658">
        <v>6.4756164618339968E-2</v>
      </c>
      <c r="G46" s="658">
        <v>0.11589956535237504</v>
      </c>
      <c r="H46" s="658">
        <v>2.8282321658168037E-2</v>
      </c>
      <c r="I46" s="658">
        <v>0</v>
      </c>
      <c r="J46" s="667">
        <v>5.5372904275739578E-2</v>
      </c>
      <c r="K46" s="616">
        <v>0</v>
      </c>
      <c r="L46" s="653">
        <v>0.1739427550135359</v>
      </c>
      <c r="M46" s="665">
        <v>0.20423243861884299</v>
      </c>
      <c r="N46" s="653">
        <v>0.11026558972911964</v>
      </c>
      <c r="O46" s="616">
        <v>0.14099532945996654</v>
      </c>
      <c r="P46" s="616">
        <v>0</v>
      </c>
      <c r="Q46" s="653">
        <v>0</v>
      </c>
      <c r="R46" s="653">
        <v>0</v>
      </c>
      <c r="S46" s="717">
        <v>0</v>
      </c>
      <c r="T46" s="543"/>
      <c r="U46" s="550"/>
    </row>
    <row r="47" spans="1:21">
      <c r="A47" s="414"/>
      <c r="B47" s="480" t="s">
        <v>95</v>
      </c>
      <c r="C47" s="510">
        <v>0.27445217505475578</v>
      </c>
      <c r="D47" s="656">
        <v>0</v>
      </c>
      <c r="E47" s="658">
        <v>0.10509267921707532</v>
      </c>
      <c r="F47" s="658">
        <v>0.63004564231717985</v>
      </c>
      <c r="G47" s="658">
        <v>1.2066955253508149</v>
      </c>
      <c r="H47" s="658">
        <v>1.1442625413499359</v>
      </c>
      <c r="I47" s="658">
        <v>0</v>
      </c>
      <c r="J47" s="667">
        <v>0.40480828310778882</v>
      </c>
      <c r="K47" s="616">
        <v>0</v>
      </c>
      <c r="L47" s="653">
        <v>6.8634945572596155</v>
      </c>
      <c r="M47" s="665">
        <v>-1.0006916940318245</v>
      </c>
      <c r="N47" s="653">
        <v>-2.3297531629173682</v>
      </c>
      <c r="O47" s="616">
        <v>-0.38765013178370944</v>
      </c>
      <c r="P47" s="616">
        <v>0</v>
      </c>
      <c r="Q47" s="653">
        <v>0</v>
      </c>
      <c r="R47" s="653">
        <v>0</v>
      </c>
      <c r="S47" s="717">
        <v>0</v>
      </c>
      <c r="T47" s="510"/>
      <c r="U47" s="528"/>
    </row>
    <row r="48" spans="1:21">
      <c r="A48" s="414"/>
      <c r="B48" s="4" t="s">
        <v>49</v>
      </c>
      <c r="C48" s="616">
        <v>1.2137940451429951E-2</v>
      </c>
      <c r="D48" s="658">
        <v>0</v>
      </c>
      <c r="E48" s="658">
        <v>7.1093740759771804E-2</v>
      </c>
      <c r="F48" s="658">
        <v>5.4855518711511134E-2</v>
      </c>
      <c r="G48" s="658">
        <v>4.0243364669943056E-2</v>
      </c>
      <c r="H48" s="658">
        <v>6.3268490585665249E-2</v>
      </c>
      <c r="I48" s="658">
        <v>0</v>
      </c>
      <c r="J48" s="667">
        <v>5.1909421229928469E-2</v>
      </c>
      <c r="K48" s="616">
        <v>0</v>
      </c>
      <c r="L48" s="653">
        <v>0.2392973678485969</v>
      </c>
      <c r="M48" s="664">
        <v>8.7002376566481826E-2</v>
      </c>
      <c r="N48" s="666">
        <v>9.5512591874973712E-2</v>
      </c>
      <c r="O48" s="616">
        <v>0.11932393789468906</v>
      </c>
      <c r="P48" s="616">
        <v>0</v>
      </c>
      <c r="Q48" s="653">
        <v>0</v>
      </c>
      <c r="R48" s="653">
        <v>0</v>
      </c>
      <c r="S48" s="717">
        <v>0</v>
      </c>
      <c r="T48" s="536"/>
      <c r="U48" s="542"/>
    </row>
    <row r="49" spans="1:21">
      <c r="A49" s="414"/>
      <c r="B49" s="4" t="s">
        <v>51</v>
      </c>
      <c r="C49" s="616">
        <v>1.6471000116699733E-2</v>
      </c>
      <c r="D49" s="658">
        <v>0</v>
      </c>
      <c r="E49" s="658">
        <v>9.280589676752718E-2</v>
      </c>
      <c r="F49" s="658">
        <v>9.4292059728778216E-2</v>
      </c>
      <c r="G49" s="658">
        <v>4.1563179136914E-2</v>
      </c>
      <c r="H49" s="658">
        <v>7.9548756652615071E-2</v>
      </c>
      <c r="I49" s="658">
        <v>0</v>
      </c>
      <c r="J49" s="667">
        <v>6.9679014129242045E-2</v>
      </c>
      <c r="K49" s="616">
        <v>0</v>
      </c>
      <c r="L49" s="653">
        <v>0.27620048886903042</v>
      </c>
      <c r="M49" s="665">
        <v>7.9466194476235721E-2</v>
      </c>
      <c r="N49" s="666">
        <v>0.1164424026523702</v>
      </c>
      <c r="O49" s="616">
        <v>0.13624767289526304</v>
      </c>
      <c r="P49" s="616">
        <v>0</v>
      </c>
      <c r="Q49" s="653">
        <v>0</v>
      </c>
      <c r="R49" s="653">
        <v>0</v>
      </c>
      <c r="S49" s="717">
        <v>0</v>
      </c>
      <c r="T49" s="543"/>
      <c r="U49" s="550"/>
    </row>
    <row r="50" spans="1:21">
      <c r="A50" s="414"/>
      <c r="B50" s="480" t="s">
        <v>97</v>
      </c>
      <c r="C50" s="510">
        <v>0.43330596652697823</v>
      </c>
      <c r="D50" s="656">
        <v>0</v>
      </c>
      <c r="E50" s="658">
        <v>2.1712156007755374</v>
      </c>
      <c r="F50" s="658">
        <v>3.9436541017267084</v>
      </c>
      <c r="G50" s="658">
        <v>0.13198144669709436</v>
      </c>
      <c r="H50" s="658">
        <v>1.6280266066949822</v>
      </c>
      <c r="I50" s="658">
        <v>0</v>
      </c>
      <c r="J50" s="667">
        <v>1.7769592899313575</v>
      </c>
      <c r="K50" s="616">
        <v>0</v>
      </c>
      <c r="L50" s="653">
        <v>3.6903121020433529</v>
      </c>
      <c r="M50" s="652">
        <v>-0.75361820902461041</v>
      </c>
      <c r="N50" s="657">
        <v>2.0929810777396489</v>
      </c>
      <c r="O50" s="616">
        <v>1.6923735000573981</v>
      </c>
      <c r="P50" s="616">
        <v>0</v>
      </c>
      <c r="Q50" s="653">
        <v>0</v>
      </c>
      <c r="R50" s="653">
        <v>0</v>
      </c>
      <c r="S50" s="717">
        <v>0</v>
      </c>
      <c r="T50" s="510"/>
      <c r="U50" s="528"/>
    </row>
    <row r="51" spans="1:21">
      <c r="A51" s="414"/>
      <c r="B51" s="4" t="s">
        <v>53</v>
      </c>
      <c r="C51" s="616">
        <v>2.708969835584306E-3</v>
      </c>
      <c r="D51" s="658">
        <v>0</v>
      </c>
      <c r="E51" s="658">
        <v>6.5130056417137244E-3</v>
      </c>
      <c r="F51" s="658">
        <v>7.7979812702692853E-4</v>
      </c>
      <c r="G51" s="658">
        <v>3.7961820889226894E-2</v>
      </c>
      <c r="H51" s="658">
        <v>1.4288983667949652E-2</v>
      </c>
      <c r="I51" s="658">
        <v>0</v>
      </c>
      <c r="J51" s="667">
        <v>8.4975948359809501E-3</v>
      </c>
      <c r="K51" s="616">
        <v>0</v>
      </c>
      <c r="L51" s="653">
        <v>0</v>
      </c>
      <c r="M51" s="653">
        <v>3.0303608754163763E-3</v>
      </c>
      <c r="N51" s="653">
        <v>1.7813504122010899E-2</v>
      </c>
      <c r="O51" s="616">
        <v>1.1658507707150493E-2</v>
      </c>
      <c r="P51" s="616">
        <v>0</v>
      </c>
      <c r="Q51" s="653">
        <v>0</v>
      </c>
      <c r="R51" s="653">
        <v>0</v>
      </c>
      <c r="S51" s="717">
        <v>0</v>
      </c>
      <c r="T51" s="536"/>
      <c r="U51" s="542"/>
    </row>
    <row r="52" spans="1:21">
      <c r="A52" s="414"/>
      <c r="B52" s="4" t="s">
        <v>55</v>
      </c>
      <c r="C52" s="616">
        <v>1.7364920060683861E-3</v>
      </c>
      <c r="D52" s="658">
        <v>0</v>
      </c>
      <c r="E52" s="658">
        <v>5.1104798020876578E-3</v>
      </c>
      <c r="F52" s="658">
        <v>1.3925289039012234E-4</v>
      </c>
      <c r="G52" s="658">
        <v>4.7216185449653315E-2</v>
      </c>
      <c r="H52" s="658">
        <v>1.7837168662948766E-2</v>
      </c>
      <c r="I52" s="658">
        <v>0</v>
      </c>
      <c r="J52" s="667">
        <v>8.7589403227811054E-3</v>
      </c>
      <c r="K52" s="616">
        <v>0</v>
      </c>
      <c r="L52" s="653">
        <v>0</v>
      </c>
      <c r="M52" s="653">
        <v>2.1766827182621087E-3</v>
      </c>
      <c r="N52" s="653">
        <v>1.7056409894657638E-2</v>
      </c>
      <c r="O52" s="616">
        <v>1.0986837568996615E-2</v>
      </c>
      <c r="P52" s="616">
        <v>0</v>
      </c>
      <c r="Q52" s="653">
        <v>0</v>
      </c>
      <c r="R52" s="653">
        <v>0</v>
      </c>
      <c r="S52" s="717">
        <v>0</v>
      </c>
      <c r="T52" s="543"/>
      <c r="U52" s="550"/>
    </row>
    <row r="53" spans="1:21">
      <c r="A53" s="414"/>
      <c r="B53" s="480" t="s">
        <v>103</v>
      </c>
      <c r="C53" s="510">
        <v>-9.7247782951591991E-2</v>
      </c>
      <c r="D53" s="656">
        <v>0</v>
      </c>
      <c r="E53" s="658">
        <v>-0.14025258396260665</v>
      </c>
      <c r="F53" s="658">
        <v>-6.4054523663680626E-2</v>
      </c>
      <c r="G53" s="658">
        <v>0.92543645604264213</v>
      </c>
      <c r="H53" s="658">
        <v>0.3548184994999114</v>
      </c>
      <c r="I53" s="658">
        <v>0</v>
      </c>
      <c r="J53" s="667">
        <v>2.6134548680015537E-2</v>
      </c>
      <c r="K53" s="616">
        <v>0</v>
      </c>
      <c r="L53" s="653">
        <v>0</v>
      </c>
      <c r="M53" s="653">
        <v>-8.5367815715426759E-2</v>
      </c>
      <c r="N53" s="653">
        <v>-7.5709422735326104E-2</v>
      </c>
      <c r="O53" s="616">
        <v>-6.716701381538781E-2</v>
      </c>
      <c r="P53" s="616">
        <v>0</v>
      </c>
      <c r="Q53" s="653">
        <v>0</v>
      </c>
      <c r="R53" s="653">
        <v>0</v>
      </c>
      <c r="S53" s="717">
        <v>0</v>
      </c>
      <c r="T53" s="510"/>
      <c r="U53" s="528"/>
    </row>
    <row r="54" spans="1:21">
      <c r="A54" s="479"/>
      <c r="B54" s="4" t="s">
        <v>57</v>
      </c>
      <c r="C54" s="616">
        <v>1.462990010216547E-4</v>
      </c>
      <c r="D54" s="658">
        <v>0</v>
      </c>
      <c r="E54" s="658">
        <v>4.2881229638643834E-3</v>
      </c>
      <c r="F54" s="658">
        <v>5.0686878256750358E-3</v>
      </c>
      <c r="G54" s="658">
        <v>0</v>
      </c>
      <c r="H54" s="658">
        <v>0</v>
      </c>
      <c r="I54" s="658">
        <v>0</v>
      </c>
      <c r="J54" s="667">
        <v>2.5587775188000124E-3</v>
      </c>
      <c r="K54" s="616">
        <v>0</v>
      </c>
      <c r="L54" s="653">
        <v>0</v>
      </c>
      <c r="M54" s="653">
        <v>6.7631928073072264E-2</v>
      </c>
      <c r="N54" s="653">
        <v>1.4086327820185937E-2</v>
      </c>
      <c r="O54" s="616">
        <v>2.2420801435487563E-2</v>
      </c>
      <c r="P54" s="616">
        <v>0</v>
      </c>
      <c r="Q54" s="653">
        <v>0</v>
      </c>
      <c r="R54" s="653">
        <v>0</v>
      </c>
      <c r="S54" s="717">
        <v>0</v>
      </c>
      <c r="T54" s="536"/>
      <c r="U54" s="542"/>
    </row>
    <row r="55" spans="1:21">
      <c r="A55" s="479"/>
      <c r="B55" s="4" t="s">
        <v>59</v>
      </c>
      <c r="C55" s="616">
        <v>3.1508927529466684E-4</v>
      </c>
      <c r="D55" s="668">
        <v>0</v>
      </c>
      <c r="E55" s="658">
        <v>1.0112945898146979E-2</v>
      </c>
      <c r="F55" s="658">
        <v>1.1497289924517792E-3</v>
      </c>
      <c r="G55" s="658">
        <v>0</v>
      </c>
      <c r="H55" s="658">
        <v>0</v>
      </c>
      <c r="I55" s="658">
        <v>0</v>
      </c>
      <c r="J55" s="667">
        <v>4.3701753062787545E-3</v>
      </c>
      <c r="K55" s="616">
        <v>0</v>
      </c>
      <c r="L55" s="653">
        <v>0</v>
      </c>
      <c r="M55" s="653">
        <v>0.10357381934397202</v>
      </c>
      <c r="N55" s="653">
        <v>1.2227238525206923E-2</v>
      </c>
      <c r="O55" s="616">
        <v>2.9306096379333495E-2</v>
      </c>
      <c r="P55" s="616">
        <v>0</v>
      </c>
      <c r="Q55" s="653">
        <v>0</v>
      </c>
      <c r="R55" s="653">
        <v>0</v>
      </c>
      <c r="S55" s="717">
        <v>0</v>
      </c>
      <c r="T55" s="543"/>
      <c r="U55" s="550"/>
    </row>
    <row r="56" spans="1:21">
      <c r="A56" s="479"/>
      <c r="B56" s="480" t="s">
        <v>105</v>
      </c>
      <c r="C56" s="510">
        <v>1.6879027427301213E-2</v>
      </c>
      <c r="D56" s="656">
        <v>0</v>
      </c>
      <c r="E56" s="658">
        <v>0.58248229342825952</v>
      </c>
      <c r="F56" s="658">
        <v>-0.39189588332232561</v>
      </c>
      <c r="G56" s="658">
        <v>0</v>
      </c>
      <c r="H56" s="658">
        <v>0</v>
      </c>
      <c r="I56" s="658">
        <v>0</v>
      </c>
      <c r="J56" s="667">
        <v>0.18113977874787421</v>
      </c>
      <c r="K56" s="616">
        <v>0</v>
      </c>
      <c r="L56" s="653">
        <v>0</v>
      </c>
      <c r="M56" s="653">
        <v>3.5941891270899751</v>
      </c>
      <c r="N56" s="653">
        <v>-0.18590892949790147</v>
      </c>
      <c r="O56" s="616">
        <v>0.68852949438459321</v>
      </c>
      <c r="P56" s="616">
        <v>0</v>
      </c>
      <c r="Q56" s="653">
        <v>0</v>
      </c>
      <c r="R56" s="653">
        <v>0</v>
      </c>
      <c r="S56" s="717">
        <v>0</v>
      </c>
      <c r="T56" s="510"/>
      <c r="U56" s="528"/>
    </row>
    <row r="57" spans="1:21">
      <c r="A57" s="479"/>
      <c r="B57" s="4" t="s">
        <v>61</v>
      </c>
      <c r="C57" s="616">
        <v>0</v>
      </c>
      <c r="D57" s="658">
        <v>0</v>
      </c>
      <c r="E57" s="658">
        <v>5.5589212801551767E-4</v>
      </c>
      <c r="F57" s="658">
        <v>0</v>
      </c>
      <c r="G57" s="658">
        <v>0</v>
      </c>
      <c r="H57" s="658">
        <v>0</v>
      </c>
      <c r="I57" s="658">
        <v>0</v>
      </c>
      <c r="J57" s="667">
        <v>2.2960604379558875E-4</v>
      </c>
      <c r="K57" s="616">
        <v>0</v>
      </c>
      <c r="L57" s="653">
        <v>2.7735479660648249E-4</v>
      </c>
      <c r="M57" s="653">
        <v>0</v>
      </c>
      <c r="N57" s="653">
        <v>0</v>
      </c>
      <c r="O57" s="616">
        <v>4.9253138921858444E-5</v>
      </c>
      <c r="P57" s="616">
        <v>0</v>
      </c>
      <c r="Q57" s="653">
        <v>0</v>
      </c>
      <c r="R57" s="653">
        <v>0</v>
      </c>
      <c r="S57" s="717">
        <v>0</v>
      </c>
      <c r="T57" s="536"/>
      <c r="U57" s="542"/>
    </row>
    <row r="58" spans="1:21">
      <c r="A58" s="479"/>
      <c r="B58" s="4" t="s">
        <v>63</v>
      </c>
      <c r="C58" s="616">
        <v>0</v>
      </c>
      <c r="D58" s="658">
        <v>0</v>
      </c>
      <c r="E58" s="658">
        <v>1.7646576551135381E-3</v>
      </c>
      <c r="F58" s="658">
        <v>0</v>
      </c>
      <c r="G58" s="658">
        <v>0</v>
      </c>
      <c r="H58" s="658">
        <v>0</v>
      </c>
      <c r="I58" s="658">
        <v>0</v>
      </c>
      <c r="J58" s="667">
        <v>7.2021848751993079E-4</v>
      </c>
      <c r="K58" s="616">
        <v>0</v>
      </c>
      <c r="L58" s="653">
        <v>0</v>
      </c>
      <c r="M58" s="653">
        <v>0</v>
      </c>
      <c r="N58" s="653">
        <v>0</v>
      </c>
      <c r="O58" s="616">
        <v>0</v>
      </c>
      <c r="P58" s="616">
        <v>0</v>
      </c>
      <c r="Q58" s="653">
        <v>0</v>
      </c>
      <c r="R58" s="653">
        <v>0</v>
      </c>
      <c r="S58" s="717">
        <v>0</v>
      </c>
      <c r="T58" s="543"/>
      <c r="U58" s="550"/>
    </row>
    <row r="59" spans="1:21">
      <c r="A59" s="479"/>
      <c r="B59" s="480" t="s">
        <v>91</v>
      </c>
      <c r="C59" s="510">
        <v>0</v>
      </c>
      <c r="D59" s="656">
        <v>0</v>
      </c>
      <c r="E59" s="658">
        <v>0.12087655270980202</v>
      </c>
      <c r="F59" s="658">
        <v>0</v>
      </c>
      <c r="G59" s="658">
        <v>0</v>
      </c>
      <c r="H59" s="658">
        <v>0</v>
      </c>
      <c r="I59" s="658">
        <v>0</v>
      </c>
      <c r="J59" s="667">
        <v>4.9061244372434205E-2</v>
      </c>
      <c r="K59" s="616">
        <v>0</v>
      </c>
      <c r="L59" s="653">
        <v>-2.7735479660648248E-2</v>
      </c>
      <c r="M59" s="653">
        <v>0</v>
      </c>
      <c r="N59" s="653">
        <v>0</v>
      </c>
      <c r="O59" s="616">
        <v>-4.925313892185844E-3</v>
      </c>
      <c r="P59" s="616">
        <v>0</v>
      </c>
      <c r="Q59" s="653">
        <v>0</v>
      </c>
      <c r="R59" s="653">
        <v>0</v>
      </c>
      <c r="S59" s="717">
        <v>0</v>
      </c>
      <c r="T59" s="510"/>
      <c r="U59" s="528"/>
    </row>
    <row r="60" spans="1:21">
      <c r="A60" s="479"/>
      <c r="B60" s="4" t="s">
        <v>47</v>
      </c>
      <c r="C60" s="664">
        <v>0.79395121093062804</v>
      </c>
      <c r="D60" s="658">
        <v>0</v>
      </c>
      <c r="E60" s="664">
        <v>0.67947223646790056</v>
      </c>
      <c r="F60" s="658">
        <v>0.71606893339543554</v>
      </c>
      <c r="G60" s="667">
        <v>0.66266416510318948</v>
      </c>
      <c r="H60" s="664">
        <v>0.87343441001977584</v>
      </c>
      <c r="I60" s="658">
        <v>0</v>
      </c>
      <c r="J60" s="667">
        <v>0.72187910230140617</v>
      </c>
      <c r="K60" s="616">
        <v>0</v>
      </c>
      <c r="L60" s="653">
        <v>0</v>
      </c>
      <c r="M60" s="653">
        <v>0</v>
      </c>
      <c r="N60" s="653">
        <v>0</v>
      </c>
      <c r="O60" s="616">
        <v>0</v>
      </c>
      <c r="P60" s="616">
        <v>0</v>
      </c>
      <c r="Q60" s="653">
        <v>0</v>
      </c>
      <c r="R60" s="653">
        <v>0</v>
      </c>
      <c r="S60" s="717">
        <v>0</v>
      </c>
      <c r="T60" s="536"/>
      <c r="U60" s="542"/>
    </row>
    <row r="61" spans="1:21">
      <c r="A61" s="479"/>
      <c r="B61" s="4" t="s">
        <v>65</v>
      </c>
      <c r="C61" s="665">
        <v>0.77075778640943682</v>
      </c>
      <c r="D61" s="658">
        <v>0</v>
      </c>
      <c r="E61" s="665">
        <v>0.62051572984903958</v>
      </c>
      <c r="F61" s="658">
        <v>0.69519226187639971</v>
      </c>
      <c r="G61" s="667">
        <v>0.50462337662337664</v>
      </c>
      <c r="H61" s="665">
        <v>0.84799608993157383</v>
      </c>
      <c r="I61" s="658">
        <v>0</v>
      </c>
      <c r="J61" s="667">
        <v>0.67347773162731484</v>
      </c>
      <c r="K61" s="616">
        <v>0</v>
      </c>
      <c r="L61" s="653">
        <v>0</v>
      </c>
      <c r="M61" s="653">
        <v>0</v>
      </c>
      <c r="N61" s="653">
        <v>0</v>
      </c>
      <c r="O61" s="616">
        <v>0</v>
      </c>
      <c r="P61" s="616">
        <v>0</v>
      </c>
      <c r="Q61" s="653">
        <v>0</v>
      </c>
      <c r="R61" s="653">
        <v>0</v>
      </c>
      <c r="S61" s="717">
        <v>0</v>
      </c>
      <c r="T61" s="543"/>
      <c r="U61" s="550"/>
    </row>
    <row r="62" spans="1:21">
      <c r="A62" s="479"/>
      <c r="B62" s="480" t="s">
        <v>89</v>
      </c>
      <c r="C62" s="529">
        <v>-2.3193424521191219</v>
      </c>
      <c r="D62" s="656">
        <v>0</v>
      </c>
      <c r="E62" s="652">
        <v>-5.8956506618860978</v>
      </c>
      <c r="F62" s="658">
        <v>-2.0876671519035828</v>
      </c>
      <c r="G62" s="659">
        <v>-15.804078847981284</v>
      </c>
      <c r="H62" s="652">
        <v>-2.5438320088202016</v>
      </c>
      <c r="I62" s="658">
        <v>0</v>
      </c>
      <c r="J62" s="667">
        <v>-4.8401370674091337</v>
      </c>
      <c r="K62" s="616">
        <v>0</v>
      </c>
      <c r="L62" s="653">
        <v>0</v>
      </c>
      <c r="M62" s="653">
        <v>0</v>
      </c>
      <c r="N62" s="653">
        <v>0</v>
      </c>
      <c r="O62" s="616">
        <v>0</v>
      </c>
      <c r="P62" s="616">
        <v>0</v>
      </c>
      <c r="Q62" s="653">
        <v>0</v>
      </c>
      <c r="R62" s="653">
        <v>0</v>
      </c>
      <c r="S62" s="717">
        <v>0</v>
      </c>
      <c r="T62" s="510"/>
      <c r="U62" s="528"/>
    </row>
    <row r="63" spans="1:21">
      <c r="A63" s="479"/>
      <c r="B63" s="4" t="s">
        <v>67</v>
      </c>
      <c r="C63" s="665">
        <v>5.9520319005453584E-2</v>
      </c>
      <c r="D63" s="658">
        <v>0</v>
      </c>
      <c r="E63" s="658">
        <v>0.14627255349899762</v>
      </c>
      <c r="F63" s="658">
        <v>0.19953423381462507</v>
      </c>
      <c r="G63" s="658">
        <v>1.425891181988743E-2</v>
      </c>
      <c r="H63" s="658">
        <v>0</v>
      </c>
      <c r="I63" s="658">
        <v>0</v>
      </c>
      <c r="J63" s="667">
        <v>0.11695948924379598</v>
      </c>
      <c r="K63" s="616">
        <v>0</v>
      </c>
      <c r="L63" s="653">
        <v>0</v>
      </c>
      <c r="M63" s="653">
        <v>0</v>
      </c>
      <c r="N63" s="653">
        <v>0</v>
      </c>
      <c r="O63" s="616">
        <v>0</v>
      </c>
      <c r="P63" s="616">
        <v>0</v>
      </c>
      <c r="Q63" s="653">
        <v>0</v>
      </c>
      <c r="R63" s="653">
        <v>0</v>
      </c>
      <c r="S63" s="717">
        <v>0</v>
      </c>
      <c r="T63" s="536"/>
      <c r="U63" s="542"/>
    </row>
    <row r="64" spans="1:21">
      <c r="A64" s="479"/>
      <c r="B64" s="4" t="s">
        <v>69</v>
      </c>
      <c r="C64" s="665">
        <v>5.2917484842838508E-2</v>
      </c>
      <c r="D64" s="658">
        <v>0</v>
      </c>
      <c r="E64" s="658">
        <v>0.13249594454441499</v>
      </c>
      <c r="F64" s="658">
        <v>0.1875446705103159</v>
      </c>
      <c r="G64" s="658">
        <v>3.3766233766233764E-2</v>
      </c>
      <c r="H64" s="658">
        <v>0</v>
      </c>
      <c r="I64" s="658">
        <v>0</v>
      </c>
      <c r="J64" s="667">
        <v>0.10639385238666035</v>
      </c>
      <c r="K64" s="616">
        <v>0</v>
      </c>
      <c r="L64" s="653">
        <v>0</v>
      </c>
      <c r="M64" s="653">
        <v>0</v>
      </c>
      <c r="N64" s="653">
        <v>0</v>
      </c>
      <c r="O64" s="616">
        <v>0</v>
      </c>
      <c r="P64" s="616">
        <v>0</v>
      </c>
      <c r="Q64" s="653">
        <v>0</v>
      </c>
      <c r="R64" s="653">
        <v>0</v>
      </c>
      <c r="S64" s="717">
        <v>0</v>
      </c>
      <c r="T64" s="543"/>
      <c r="U64" s="550"/>
    </row>
    <row r="65" spans="1:21">
      <c r="A65" s="479"/>
      <c r="B65" s="480" t="s">
        <v>93</v>
      </c>
      <c r="C65" s="733">
        <v>-0.66028341626150766</v>
      </c>
      <c r="D65" s="656">
        <v>0</v>
      </c>
      <c r="E65" s="658">
        <v>-1.3776608954582632</v>
      </c>
      <c r="F65" s="658">
        <v>-1.198956330430917</v>
      </c>
      <c r="G65" s="658">
        <v>1.9507321946346337</v>
      </c>
      <c r="H65" s="658">
        <v>0</v>
      </c>
      <c r="I65" s="658">
        <v>0</v>
      </c>
      <c r="J65" s="667">
        <v>-1.056563685713563</v>
      </c>
      <c r="K65" s="616">
        <v>0</v>
      </c>
      <c r="L65" s="653">
        <v>0</v>
      </c>
      <c r="M65" s="653">
        <v>0</v>
      </c>
      <c r="N65" s="653">
        <v>0</v>
      </c>
      <c r="O65" s="616">
        <v>0</v>
      </c>
      <c r="P65" s="616">
        <v>0</v>
      </c>
      <c r="Q65" s="653">
        <v>0</v>
      </c>
      <c r="R65" s="653">
        <v>0</v>
      </c>
      <c r="S65" s="717">
        <v>0</v>
      </c>
      <c r="T65" s="510"/>
      <c r="U65" s="528"/>
    </row>
    <row r="66" spans="1:21">
      <c r="A66" s="479"/>
      <c r="B66" s="4" t="s">
        <v>71</v>
      </c>
      <c r="C66" s="665">
        <v>0.11653374772767255</v>
      </c>
      <c r="D66" s="658">
        <v>0</v>
      </c>
      <c r="E66" s="658">
        <v>0.10855517739754768</v>
      </c>
      <c r="F66" s="658">
        <v>7.3078714485328364E-2</v>
      </c>
      <c r="G66" s="658">
        <v>0.15572232645403378</v>
      </c>
      <c r="H66" s="664">
        <v>0</v>
      </c>
      <c r="I66" s="658">
        <v>0</v>
      </c>
      <c r="J66" s="667">
        <v>0.10853084930657482</v>
      </c>
      <c r="K66" s="616">
        <v>0</v>
      </c>
      <c r="L66" s="653">
        <v>0</v>
      </c>
      <c r="M66" s="653">
        <v>0</v>
      </c>
      <c r="N66" s="653">
        <v>0</v>
      </c>
      <c r="O66" s="616">
        <v>0</v>
      </c>
      <c r="P66" s="616">
        <v>0</v>
      </c>
      <c r="Q66" s="653">
        <v>0</v>
      </c>
      <c r="R66" s="653">
        <v>0</v>
      </c>
      <c r="S66" s="717">
        <v>0</v>
      </c>
      <c r="T66" s="536"/>
      <c r="U66" s="542"/>
    </row>
    <row r="67" spans="1:21">
      <c r="A67" s="479"/>
      <c r="B67" s="4" t="s">
        <v>73</v>
      </c>
      <c r="C67" s="665">
        <v>0.14429044418007997</v>
      </c>
      <c r="D67" s="658">
        <v>0</v>
      </c>
      <c r="E67" s="658">
        <v>0.15839767398569288</v>
      </c>
      <c r="F67" s="658">
        <v>0.11526182875113165</v>
      </c>
      <c r="G67" s="658">
        <v>0.11158441558441558</v>
      </c>
      <c r="H67" s="665">
        <v>0</v>
      </c>
      <c r="I67" s="658">
        <v>0</v>
      </c>
      <c r="J67" s="667">
        <v>0.14601975487599772</v>
      </c>
      <c r="K67" s="616">
        <v>0</v>
      </c>
      <c r="L67" s="653">
        <v>0</v>
      </c>
      <c r="M67" s="653">
        <v>0</v>
      </c>
      <c r="N67" s="653">
        <v>0</v>
      </c>
      <c r="O67" s="616">
        <v>0</v>
      </c>
      <c r="P67" s="616">
        <v>0</v>
      </c>
      <c r="Q67" s="653">
        <v>0</v>
      </c>
      <c r="R67" s="653">
        <v>0</v>
      </c>
      <c r="S67" s="717">
        <v>0</v>
      </c>
      <c r="T67" s="543"/>
      <c r="U67" s="550"/>
    </row>
    <row r="68" spans="1:21">
      <c r="A68" s="479"/>
      <c r="B68" s="480" t="s">
        <v>99</v>
      </c>
      <c r="C68" s="529">
        <v>2.7756696452407414</v>
      </c>
      <c r="D68" s="656">
        <v>0</v>
      </c>
      <c r="E68" s="658">
        <v>4.9842496588145195</v>
      </c>
      <c r="F68" s="658">
        <v>4.2183114265803292</v>
      </c>
      <c r="G68" s="658">
        <v>-4.4137910869618198</v>
      </c>
      <c r="H68" s="652">
        <v>0</v>
      </c>
      <c r="I68" s="658">
        <v>0</v>
      </c>
      <c r="J68" s="667">
        <v>3.7488905569422899</v>
      </c>
      <c r="K68" s="616">
        <v>0</v>
      </c>
      <c r="L68" s="653">
        <v>0</v>
      </c>
      <c r="M68" s="653">
        <v>0</v>
      </c>
      <c r="N68" s="653">
        <v>0</v>
      </c>
      <c r="O68" s="616">
        <v>0</v>
      </c>
      <c r="P68" s="616">
        <v>0</v>
      </c>
      <c r="Q68" s="653">
        <v>0</v>
      </c>
      <c r="R68" s="653">
        <v>0</v>
      </c>
      <c r="S68" s="717">
        <v>0</v>
      </c>
      <c r="T68" s="510"/>
      <c r="U68" s="528"/>
    </row>
    <row r="69" spans="1:21">
      <c r="A69" s="479"/>
      <c r="B69" s="4" t="s">
        <v>75</v>
      </c>
      <c r="C69" s="632">
        <v>4.6619363161906997E-3</v>
      </c>
      <c r="D69" s="508">
        <v>0</v>
      </c>
      <c r="E69" s="508">
        <v>3.6701011702177259E-2</v>
      </c>
      <c r="F69" s="508">
        <v>2.0959478341872379E-3</v>
      </c>
      <c r="G69" s="508">
        <v>0.16735459662288932</v>
      </c>
      <c r="H69" s="508">
        <v>0.12656558998022413</v>
      </c>
      <c r="I69" s="508">
        <v>0</v>
      </c>
      <c r="J69" s="509">
        <v>2.8235943789690902E-2</v>
      </c>
      <c r="K69" s="506">
        <v>0</v>
      </c>
      <c r="L69" s="507">
        <v>0</v>
      </c>
      <c r="M69" s="507">
        <v>0</v>
      </c>
      <c r="N69" s="507">
        <v>0</v>
      </c>
      <c r="O69" s="506">
        <v>0</v>
      </c>
      <c r="P69" s="506">
        <v>0</v>
      </c>
      <c r="Q69" s="507">
        <v>0</v>
      </c>
      <c r="R69" s="507">
        <v>0</v>
      </c>
      <c r="S69" s="515">
        <v>0</v>
      </c>
      <c r="T69" s="536"/>
      <c r="U69" s="542"/>
    </row>
    <row r="70" spans="1:21">
      <c r="A70" s="479"/>
      <c r="B70" s="4" t="s">
        <v>77</v>
      </c>
      <c r="C70" s="632">
        <v>2.7519385400392726E-3</v>
      </c>
      <c r="D70" s="508">
        <v>0</v>
      </c>
      <c r="E70" s="508">
        <v>1.3261118153371568E-2</v>
      </c>
      <c r="F70" s="508">
        <v>1.1435650640872921E-3</v>
      </c>
      <c r="G70" s="508">
        <v>0.35002597402597402</v>
      </c>
      <c r="H70" s="508">
        <v>0.1520039100684262</v>
      </c>
      <c r="I70" s="508">
        <v>0</v>
      </c>
      <c r="J70" s="509">
        <v>2.5051338518291381E-2</v>
      </c>
      <c r="K70" s="506">
        <v>0</v>
      </c>
      <c r="L70" s="507">
        <v>0</v>
      </c>
      <c r="M70" s="507">
        <v>0</v>
      </c>
      <c r="N70" s="507">
        <v>0</v>
      </c>
      <c r="O70" s="506">
        <v>0</v>
      </c>
      <c r="P70" s="506">
        <v>0</v>
      </c>
      <c r="Q70" s="507">
        <v>0</v>
      </c>
      <c r="R70" s="507">
        <v>0</v>
      </c>
      <c r="S70" s="515">
        <v>0</v>
      </c>
      <c r="T70" s="543"/>
      <c r="U70" s="550"/>
    </row>
    <row r="71" spans="1:21">
      <c r="A71" s="479"/>
      <c r="B71" s="480" t="s">
        <v>101</v>
      </c>
      <c r="C71" s="529">
        <v>-0.1909997776151427</v>
      </c>
      <c r="D71" s="656">
        <v>0</v>
      </c>
      <c r="E71" s="658">
        <v>-2.343989354880569</v>
      </c>
      <c r="F71" s="658">
        <v>-9.5238277009994571E-2</v>
      </c>
      <c r="G71" s="658">
        <v>18.26713774030847</v>
      </c>
      <c r="H71" s="658">
        <v>2.5438320088202069</v>
      </c>
      <c r="I71" s="658">
        <v>0</v>
      </c>
      <c r="J71" s="667">
        <v>-0.3184605271399521</v>
      </c>
      <c r="K71" s="616">
        <v>0</v>
      </c>
      <c r="L71" s="653">
        <v>0</v>
      </c>
      <c r="M71" s="653">
        <v>0</v>
      </c>
      <c r="N71" s="653">
        <v>0</v>
      </c>
      <c r="O71" s="616">
        <v>0</v>
      </c>
      <c r="P71" s="616">
        <v>0</v>
      </c>
      <c r="Q71" s="653">
        <v>0</v>
      </c>
      <c r="R71" s="653">
        <v>0</v>
      </c>
      <c r="S71" s="717">
        <v>0</v>
      </c>
      <c r="T71" s="510"/>
      <c r="U71" s="528"/>
    </row>
    <row r="72" spans="1:21">
      <c r="A72" s="479"/>
      <c r="B72" s="4" t="s">
        <v>79</v>
      </c>
      <c r="C72" s="506">
        <v>2.5332786020055124E-2</v>
      </c>
      <c r="D72" s="508">
        <v>0</v>
      </c>
      <c r="E72" s="508">
        <v>2.8943074269196699E-2</v>
      </c>
      <c r="F72" s="508">
        <v>9.2221704704238475E-3</v>
      </c>
      <c r="G72" s="508">
        <v>0</v>
      </c>
      <c r="H72" s="508">
        <v>0</v>
      </c>
      <c r="I72" s="508">
        <v>0</v>
      </c>
      <c r="J72" s="509">
        <v>2.4365551082886471E-2</v>
      </c>
      <c r="K72" s="506">
        <v>0</v>
      </c>
      <c r="L72" s="507">
        <v>0</v>
      </c>
      <c r="M72" s="507">
        <v>0</v>
      </c>
      <c r="N72" s="507">
        <v>0</v>
      </c>
      <c r="O72" s="506">
        <v>0</v>
      </c>
      <c r="P72" s="506">
        <v>0</v>
      </c>
      <c r="Q72" s="507">
        <v>0</v>
      </c>
      <c r="R72" s="507">
        <v>0</v>
      </c>
      <c r="S72" s="515">
        <v>0</v>
      </c>
      <c r="T72" s="536"/>
      <c r="U72" s="542"/>
    </row>
    <row r="73" spans="1:21">
      <c r="A73" s="479"/>
      <c r="B73" s="4" t="s">
        <v>81</v>
      </c>
      <c r="C73" s="506">
        <v>2.9282346027605384E-2</v>
      </c>
      <c r="D73" s="508">
        <v>0</v>
      </c>
      <c r="E73" s="508">
        <v>7.5143381407841436E-2</v>
      </c>
      <c r="F73" s="508">
        <v>8.5767379806546906E-4</v>
      </c>
      <c r="G73" s="508">
        <v>0</v>
      </c>
      <c r="H73" s="508">
        <v>0</v>
      </c>
      <c r="I73" s="508">
        <v>0</v>
      </c>
      <c r="J73" s="509">
        <v>4.8959756176883265E-2</v>
      </c>
      <c r="K73" s="506">
        <v>0</v>
      </c>
      <c r="L73" s="507">
        <v>0</v>
      </c>
      <c r="M73" s="507">
        <v>0</v>
      </c>
      <c r="N73" s="507">
        <v>0</v>
      </c>
      <c r="O73" s="506">
        <v>0</v>
      </c>
      <c r="P73" s="506">
        <v>0</v>
      </c>
      <c r="Q73" s="507">
        <v>0</v>
      </c>
      <c r="R73" s="507">
        <v>0</v>
      </c>
      <c r="S73" s="515">
        <v>0</v>
      </c>
      <c r="T73" s="543"/>
      <c r="U73" s="550"/>
    </row>
    <row r="74" spans="1:21">
      <c r="A74" s="479"/>
      <c r="B74" s="480" t="s">
        <v>107</v>
      </c>
      <c r="C74" s="551">
        <v>0.39495600075502602</v>
      </c>
      <c r="D74" s="615">
        <v>0</v>
      </c>
      <c r="E74" s="655">
        <v>4.6200307138644741</v>
      </c>
      <c r="F74" s="655">
        <v>-0.8364496672358378</v>
      </c>
      <c r="G74" s="655">
        <v>0</v>
      </c>
      <c r="H74" s="655">
        <v>0</v>
      </c>
      <c r="I74" s="655">
        <v>0</v>
      </c>
      <c r="J74" s="659">
        <v>2.4594205093996795</v>
      </c>
      <c r="K74" s="654">
        <v>0</v>
      </c>
      <c r="L74" s="655">
        <v>0</v>
      </c>
      <c r="M74" s="655">
        <v>0</v>
      </c>
      <c r="N74" s="655">
        <v>0</v>
      </c>
      <c r="O74" s="654">
        <v>0</v>
      </c>
      <c r="P74" s="654">
        <v>0</v>
      </c>
      <c r="Q74" s="655">
        <v>0</v>
      </c>
      <c r="R74" s="655">
        <v>0</v>
      </c>
      <c r="S74" s="718">
        <v>0</v>
      </c>
      <c r="T74" s="551"/>
      <c r="U74" s="554"/>
    </row>
    <row r="75" spans="1:21">
      <c r="A75" s="479"/>
      <c r="B75" s="4" t="s">
        <v>83</v>
      </c>
      <c r="C75" s="506">
        <v>0</v>
      </c>
      <c r="D75" s="508">
        <v>0</v>
      </c>
      <c r="E75" s="508">
        <v>5.5946664180148261E-5</v>
      </c>
      <c r="F75" s="508">
        <v>0</v>
      </c>
      <c r="G75" s="508">
        <v>0</v>
      </c>
      <c r="H75" s="508">
        <v>0</v>
      </c>
      <c r="I75" s="508">
        <v>0</v>
      </c>
      <c r="J75" s="509">
        <v>2.9064275645590224E-5</v>
      </c>
      <c r="K75" s="506">
        <v>0</v>
      </c>
      <c r="L75" s="507">
        <v>0</v>
      </c>
      <c r="M75" s="507">
        <v>0</v>
      </c>
      <c r="N75" s="507">
        <v>0</v>
      </c>
      <c r="O75" s="506">
        <v>0</v>
      </c>
      <c r="P75" s="506">
        <v>0</v>
      </c>
      <c r="Q75" s="507">
        <v>0</v>
      </c>
      <c r="R75" s="507">
        <v>0</v>
      </c>
      <c r="S75" s="515">
        <v>0</v>
      </c>
      <c r="T75" s="506"/>
      <c r="U75" s="527"/>
    </row>
    <row r="76" spans="1:21">
      <c r="A76" s="479"/>
      <c r="B76" s="4" t="s">
        <v>85</v>
      </c>
      <c r="C76" s="506">
        <v>0</v>
      </c>
      <c r="D76" s="508">
        <v>0</v>
      </c>
      <c r="E76" s="508">
        <v>1.8615205963957415E-4</v>
      </c>
      <c r="F76" s="508">
        <v>0</v>
      </c>
      <c r="G76" s="508">
        <v>0</v>
      </c>
      <c r="H76" s="508">
        <v>0</v>
      </c>
      <c r="I76" s="508">
        <v>0</v>
      </c>
      <c r="J76" s="509">
        <v>9.7566414852395946E-5</v>
      </c>
      <c r="K76" s="506">
        <v>0</v>
      </c>
      <c r="L76" s="507">
        <v>0</v>
      </c>
      <c r="M76" s="507">
        <v>0</v>
      </c>
      <c r="N76" s="507">
        <v>0</v>
      </c>
      <c r="O76" s="506">
        <v>0</v>
      </c>
      <c r="P76" s="506">
        <v>0</v>
      </c>
      <c r="Q76" s="507">
        <v>0</v>
      </c>
      <c r="R76" s="507">
        <v>0</v>
      </c>
      <c r="S76" s="515">
        <v>0</v>
      </c>
      <c r="T76" s="506"/>
      <c r="U76" s="527"/>
    </row>
    <row r="77" spans="1:21">
      <c r="A77" s="502"/>
      <c r="B77" s="481" t="s">
        <v>109</v>
      </c>
      <c r="C77" s="551">
        <v>0</v>
      </c>
      <c r="D77" s="615">
        <v>0</v>
      </c>
      <c r="E77" s="655">
        <v>1.3020539545942589E-2</v>
      </c>
      <c r="F77" s="655">
        <v>0</v>
      </c>
      <c r="G77" s="655">
        <v>0</v>
      </c>
      <c r="H77" s="655">
        <v>0</v>
      </c>
      <c r="I77" s="655">
        <v>0</v>
      </c>
      <c r="J77" s="659">
        <v>6.8502139206805725E-3</v>
      </c>
      <c r="K77" s="654">
        <v>0</v>
      </c>
      <c r="L77" s="655">
        <v>0</v>
      </c>
      <c r="M77" s="655">
        <v>0</v>
      </c>
      <c r="N77" s="655">
        <v>0</v>
      </c>
      <c r="O77" s="654">
        <v>0</v>
      </c>
      <c r="P77" s="654">
        <v>0</v>
      </c>
      <c r="Q77" s="655">
        <v>0</v>
      </c>
      <c r="R77" s="655">
        <v>0</v>
      </c>
      <c r="S77" s="718">
        <v>0</v>
      </c>
      <c r="T77" s="510"/>
      <c r="U77" s="528"/>
    </row>
    <row r="78" spans="1:21">
      <c r="A78" s="478" t="s">
        <v>135</v>
      </c>
      <c r="B78" s="3" t="s">
        <v>39</v>
      </c>
      <c r="C78" s="663">
        <v>0.95520764430701555</v>
      </c>
      <c r="D78" s="464">
        <v>0</v>
      </c>
      <c r="E78" s="464">
        <v>0</v>
      </c>
      <c r="F78" s="464">
        <v>0</v>
      </c>
      <c r="G78" s="464">
        <v>0</v>
      </c>
      <c r="H78" s="464">
        <v>0</v>
      </c>
      <c r="I78" s="464">
        <v>0</v>
      </c>
      <c r="J78" s="466">
        <v>0.95520764430701555</v>
      </c>
      <c r="K78" s="463">
        <v>0</v>
      </c>
      <c r="L78" s="464">
        <v>0</v>
      </c>
      <c r="M78" s="464">
        <v>0.87616123139114543</v>
      </c>
      <c r="N78" s="464">
        <v>0.87522976484756287</v>
      </c>
      <c r="O78" s="463">
        <v>0.87596173099701002</v>
      </c>
      <c r="P78" s="463">
        <v>0</v>
      </c>
      <c r="Q78" s="464">
        <v>0</v>
      </c>
      <c r="R78" s="464">
        <v>0</v>
      </c>
      <c r="S78" s="516">
        <v>0</v>
      </c>
      <c r="T78" s="536"/>
      <c r="U78" s="542"/>
    </row>
    <row r="79" spans="1:21">
      <c r="A79" s="479"/>
      <c r="B79" s="4" t="s">
        <v>41</v>
      </c>
      <c r="C79" s="506">
        <v>0.95238444055528715</v>
      </c>
      <c r="D79" s="508">
        <v>0</v>
      </c>
      <c r="E79" s="508">
        <v>0</v>
      </c>
      <c r="F79" s="508">
        <v>0.9945642607912365</v>
      </c>
      <c r="G79" s="508">
        <v>0</v>
      </c>
      <c r="H79" s="508">
        <v>0</v>
      </c>
      <c r="I79" s="508">
        <v>0</v>
      </c>
      <c r="J79" s="509">
        <v>0.9591551145022944</v>
      </c>
      <c r="K79" s="506">
        <v>0</v>
      </c>
      <c r="L79" s="507">
        <v>0</v>
      </c>
      <c r="M79" s="507">
        <v>0.88581654164828161</v>
      </c>
      <c r="N79" s="507">
        <v>0.84102603604991522</v>
      </c>
      <c r="O79" s="506">
        <v>0.87576613418972127</v>
      </c>
      <c r="P79" s="506">
        <v>0</v>
      </c>
      <c r="Q79" s="507">
        <v>0</v>
      </c>
      <c r="R79" s="507">
        <v>0</v>
      </c>
      <c r="S79" s="515">
        <v>0</v>
      </c>
      <c r="T79" s="543"/>
      <c r="U79" s="550"/>
    </row>
    <row r="80" spans="1:21">
      <c r="A80" s="479"/>
      <c r="B80" s="505" t="s">
        <v>87</v>
      </c>
      <c r="C80" s="510">
        <v>-0.28232037517283981</v>
      </c>
      <c r="D80" s="512">
        <v>0</v>
      </c>
      <c r="E80" s="512">
        <v>0</v>
      </c>
      <c r="F80" s="512">
        <v>0</v>
      </c>
      <c r="G80" s="512">
        <v>0</v>
      </c>
      <c r="H80" s="512">
        <v>0</v>
      </c>
      <c r="I80" s="512">
        <v>0</v>
      </c>
      <c r="J80" s="514">
        <v>0.39474701952788571</v>
      </c>
      <c r="K80" s="510">
        <v>0</v>
      </c>
      <c r="L80" s="511">
        <v>0</v>
      </c>
      <c r="M80" s="511">
        <v>0.96553102571361737</v>
      </c>
      <c r="N80" s="511">
        <v>-3.4203728797647659</v>
      </c>
      <c r="O80" s="510">
        <v>-1.9559680728875595E-2</v>
      </c>
      <c r="P80" s="510">
        <v>0</v>
      </c>
      <c r="Q80" s="511">
        <v>0</v>
      </c>
      <c r="R80" s="511">
        <v>0</v>
      </c>
      <c r="S80" s="517">
        <v>0</v>
      </c>
      <c r="T80" s="510"/>
      <c r="U80" s="528"/>
    </row>
    <row r="81" spans="1:21">
      <c r="A81" s="479"/>
      <c r="B81" s="4" t="s">
        <v>43</v>
      </c>
      <c r="C81" s="506">
        <v>0</v>
      </c>
      <c r="D81" s="508">
        <v>0</v>
      </c>
      <c r="E81" s="508">
        <v>0</v>
      </c>
      <c r="F81" s="508">
        <v>0</v>
      </c>
      <c r="G81" s="508">
        <v>0</v>
      </c>
      <c r="H81" s="508">
        <v>0</v>
      </c>
      <c r="I81" s="508">
        <v>0</v>
      </c>
      <c r="J81" s="509">
        <v>0</v>
      </c>
      <c r="K81" s="506">
        <v>0</v>
      </c>
      <c r="L81" s="507">
        <v>0</v>
      </c>
      <c r="M81" s="507">
        <v>0</v>
      </c>
      <c r="N81" s="507">
        <v>0</v>
      </c>
      <c r="O81" s="506">
        <v>0</v>
      </c>
      <c r="P81" s="506">
        <v>0</v>
      </c>
      <c r="Q81" s="507">
        <v>0</v>
      </c>
      <c r="R81" s="507">
        <v>0</v>
      </c>
      <c r="S81" s="515">
        <v>0</v>
      </c>
      <c r="T81" s="536"/>
      <c r="U81" s="542"/>
    </row>
    <row r="82" spans="1:21">
      <c r="A82" s="479"/>
      <c r="B82" s="4" t="s">
        <v>45</v>
      </c>
      <c r="C82" s="506">
        <v>0</v>
      </c>
      <c r="D82" s="508">
        <v>0</v>
      </c>
      <c r="E82" s="508">
        <v>0</v>
      </c>
      <c r="F82" s="508">
        <v>0</v>
      </c>
      <c r="G82" s="508">
        <v>0</v>
      </c>
      <c r="H82" s="508">
        <v>0</v>
      </c>
      <c r="I82" s="508">
        <v>0</v>
      </c>
      <c r="J82" s="509">
        <v>0</v>
      </c>
      <c r="K82" s="506">
        <v>0</v>
      </c>
      <c r="L82" s="507">
        <v>0</v>
      </c>
      <c r="M82" s="507">
        <v>0</v>
      </c>
      <c r="N82" s="507">
        <v>0</v>
      </c>
      <c r="O82" s="506">
        <v>0</v>
      </c>
      <c r="P82" s="506">
        <v>0</v>
      </c>
      <c r="Q82" s="507">
        <v>0</v>
      </c>
      <c r="R82" s="507">
        <v>0</v>
      </c>
      <c r="S82" s="515">
        <v>0</v>
      </c>
      <c r="T82" s="543"/>
      <c r="U82" s="550"/>
    </row>
    <row r="83" spans="1:21">
      <c r="A83" s="479"/>
      <c r="B83" s="505" t="s">
        <v>95</v>
      </c>
      <c r="C83" s="616">
        <v>0</v>
      </c>
      <c r="D83" s="658">
        <v>0</v>
      </c>
      <c r="E83" s="658">
        <v>0</v>
      </c>
      <c r="F83" s="658">
        <v>0</v>
      </c>
      <c r="G83" s="658">
        <v>0</v>
      </c>
      <c r="H83" s="658">
        <v>0</v>
      </c>
      <c r="I83" s="658">
        <v>0</v>
      </c>
      <c r="J83" s="667">
        <v>0</v>
      </c>
      <c r="K83" s="616">
        <v>0</v>
      </c>
      <c r="L83" s="653">
        <v>0</v>
      </c>
      <c r="M83" s="653">
        <v>0</v>
      </c>
      <c r="N83" s="653">
        <v>0</v>
      </c>
      <c r="O83" s="616">
        <v>0</v>
      </c>
      <c r="P83" s="616">
        <v>0</v>
      </c>
      <c r="Q83" s="653">
        <v>0</v>
      </c>
      <c r="R83" s="653">
        <v>0</v>
      </c>
      <c r="S83" s="717">
        <v>0</v>
      </c>
      <c r="T83" s="510"/>
      <c r="U83" s="528"/>
    </row>
    <row r="84" spans="1:21">
      <c r="A84" s="479"/>
      <c r="B84" s="4" t="s">
        <v>49</v>
      </c>
      <c r="C84" s="506">
        <v>4.4792355692984481E-2</v>
      </c>
      <c r="D84" s="508">
        <v>0</v>
      </c>
      <c r="E84" s="508">
        <v>0</v>
      </c>
      <c r="F84" s="508">
        <v>0</v>
      </c>
      <c r="G84" s="508">
        <v>0</v>
      </c>
      <c r="H84" s="508">
        <v>0</v>
      </c>
      <c r="I84" s="508">
        <v>0</v>
      </c>
      <c r="J84" s="509">
        <v>4.4792355692984481E-2</v>
      </c>
      <c r="K84" s="506">
        <v>0</v>
      </c>
      <c r="L84" s="507">
        <v>0</v>
      </c>
      <c r="M84" s="507">
        <v>5.1394341439818955E-2</v>
      </c>
      <c r="N84" s="507">
        <v>7.9910629397223806E-2</v>
      </c>
      <c r="O84" s="506">
        <v>5.7501926007378218E-2</v>
      </c>
      <c r="P84" s="506">
        <v>0</v>
      </c>
      <c r="Q84" s="507">
        <v>0</v>
      </c>
      <c r="R84" s="507">
        <v>0</v>
      </c>
      <c r="S84" s="515">
        <v>0</v>
      </c>
      <c r="T84" s="536"/>
      <c r="U84" s="542"/>
    </row>
    <row r="85" spans="1:21">
      <c r="A85" s="479"/>
      <c r="B85" s="4" t="s">
        <v>51</v>
      </c>
      <c r="C85" s="506">
        <v>4.7615559444712817E-2</v>
      </c>
      <c r="D85" s="508">
        <v>0</v>
      </c>
      <c r="E85" s="508">
        <v>0</v>
      </c>
      <c r="F85" s="508">
        <v>5.4357392087634468E-3</v>
      </c>
      <c r="G85" s="508">
        <v>0</v>
      </c>
      <c r="H85" s="508">
        <v>0</v>
      </c>
      <c r="I85" s="508">
        <v>0</v>
      </c>
      <c r="J85" s="509">
        <v>4.0844885497705631E-2</v>
      </c>
      <c r="K85" s="506">
        <v>0</v>
      </c>
      <c r="L85" s="507">
        <v>0</v>
      </c>
      <c r="M85" s="507">
        <v>5.4049837988652517E-2</v>
      </c>
      <c r="N85" s="507">
        <v>8.656601448158989E-2</v>
      </c>
      <c r="O85" s="506">
        <v>6.1346045485814633E-2</v>
      </c>
      <c r="P85" s="506">
        <v>0</v>
      </c>
      <c r="Q85" s="507">
        <v>0</v>
      </c>
      <c r="R85" s="507">
        <v>0</v>
      </c>
      <c r="S85" s="515">
        <v>0</v>
      </c>
      <c r="T85" s="543"/>
      <c r="U85" s="550"/>
    </row>
    <row r="86" spans="1:21">
      <c r="A86" s="479"/>
      <c r="B86" s="505" t="s">
        <v>97</v>
      </c>
      <c r="C86" s="616">
        <v>0.28232037517283359</v>
      </c>
      <c r="D86" s="658">
        <v>0</v>
      </c>
      <c r="E86" s="658">
        <v>0</v>
      </c>
      <c r="F86" s="658">
        <v>0</v>
      </c>
      <c r="G86" s="658">
        <v>0</v>
      </c>
      <c r="H86" s="658">
        <v>0</v>
      </c>
      <c r="I86" s="658">
        <v>0</v>
      </c>
      <c r="J86" s="667">
        <v>-0.39474701952788505</v>
      </c>
      <c r="K86" s="616">
        <v>0</v>
      </c>
      <c r="L86" s="653">
        <v>0</v>
      </c>
      <c r="M86" s="653">
        <v>0.26554965488335625</v>
      </c>
      <c r="N86" s="653">
        <v>0.66553850843660833</v>
      </c>
      <c r="O86" s="616">
        <v>0.38441194784364152</v>
      </c>
      <c r="P86" s="616">
        <v>0</v>
      </c>
      <c r="Q86" s="653">
        <v>0</v>
      </c>
      <c r="R86" s="653">
        <v>0</v>
      </c>
      <c r="S86" s="717">
        <v>0</v>
      </c>
      <c r="T86" s="510"/>
      <c r="U86" s="528"/>
    </row>
    <row r="87" spans="1:21">
      <c r="A87" s="479"/>
      <c r="B87" s="4" t="s">
        <v>53</v>
      </c>
      <c r="C87" s="506">
        <v>0</v>
      </c>
      <c r="D87" s="508">
        <v>0</v>
      </c>
      <c r="E87" s="508">
        <v>0</v>
      </c>
      <c r="F87" s="508">
        <v>0</v>
      </c>
      <c r="G87" s="508">
        <v>0</v>
      </c>
      <c r="H87" s="508">
        <v>0</v>
      </c>
      <c r="I87" s="508">
        <v>0</v>
      </c>
      <c r="J87" s="509">
        <v>0</v>
      </c>
      <c r="K87" s="506">
        <v>0</v>
      </c>
      <c r="L87" s="507">
        <v>0</v>
      </c>
      <c r="M87" s="507">
        <v>1.2649918157750396E-2</v>
      </c>
      <c r="N87" s="507">
        <v>2.4719528427457694E-3</v>
      </c>
      <c r="O87" s="506">
        <v>1.047001367719777E-2</v>
      </c>
      <c r="P87" s="506">
        <v>0</v>
      </c>
      <c r="Q87" s="507">
        <v>0</v>
      </c>
      <c r="R87" s="507">
        <v>0</v>
      </c>
      <c r="S87" s="515">
        <v>0</v>
      </c>
      <c r="T87" s="536"/>
      <c r="U87" s="542"/>
    </row>
    <row r="88" spans="1:21">
      <c r="A88" s="479"/>
      <c r="B88" s="4" t="s">
        <v>55</v>
      </c>
      <c r="C88" s="506">
        <v>0</v>
      </c>
      <c r="D88" s="508">
        <v>0</v>
      </c>
      <c r="E88" s="508">
        <v>0</v>
      </c>
      <c r="F88" s="508">
        <v>0</v>
      </c>
      <c r="G88" s="508">
        <v>0</v>
      </c>
      <c r="H88" s="508">
        <v>0</v>
      </c>
      <c r="I88" s="508">
        <v>0</v>
      </c>
      <c r="J88" s="509">
        <v>0</v>
      </c>
      <c r="K88" s="506">
        <v>0</v>
      </c>
      <c r="L88" s="507">
        <v>0</v>
      </c>
      <c r="M88" s="507">
        <v>3.0262917452209995E-3</v>
      </c>
      <c r="N88" s="507">
        <v>4.1596056077645971E-4</v>
      </c>
      <c r="O88" s="506">
        <v>2.440567345485469E-3</v>
      </c>
      <c r="P88" s="506">
        <v>0</v>
      </c>
      <c r="Q88" s="507">
        <v>0</v>
      </c>
      <c r="R88" s="507">
        <v>0</v>
      </c>
      <c r="S88" s="515">
        <v>0</v>
      </c>
      <c r="T88" s="543"/>
      <c r="U88" s="550"/>
    </row>
    <row r="89" spans="1:21">
      <c r="A89" s="479"/>
      <c r="B89" s="505" t="s">
        <v>103</v>
      </c>
      <c r="C89" s="616">
        <v>0</v>
      </c>
      <c r="D89" s="658">
        <v>0</v>
      </c>
      <c r="E89" s="658">
        <v>0</v>
      </c>
      <c r="F89" s="658">
        <v>0</v>
      </c>
      <c r="G89" s="658">
        <v>0</v>
      </c>
      <c r="H89" s="658">
        <v>0</v>
      </c>
      <c r="I89" s="658">
        <v>0</v>
      </c>
      <c r="J89" s="667">
        <v>0</v>
      </c>
      <c r="K89" s="616">
        <v>0</v>
      </c>
      <c r="L89" s="653">
        <v>0</v>
      </c>
      <c r="M89" s="653">
        <v>-0.96236264125293958</v>
      </c>
      <c r="N89" s="653">
        <v>-0.20559922819693094</v>
      </c>
      <c r="O89" s="616">
        <v>-0.8029446331712301</v>
      </c>
      <c r="P89" s="616">
        <v>0</v>
      </c>
      <c r="Q89" s="653">
        <v>0</v>
      </c>
      <c r="R89" s="653">
        <v>0</v>
      </c>
      <c r="S89" s="717">
        <v>0</v>
      </c>
      <c r="T89" s="510"/>
      <c r="U89" s="528"/>
    </row>
    <row r="90" spans="1:21">
      <c r="A90" s="479"/>
      <c r="B90" s="4" t="s">
        <v>57</v>
      </c>
      <c r="C90" s="506">
        <v>0</v>
      </c>
      <c r="D90" s="508">
        <v>0</v>
      </c>
      <c r="E90" s="508">
        <v>0</v>
      </c>
      <c r="F90" s="508">
        <v>0</v>
      </c>
      <c r="G90" s="508">
        <v>0</v>
      </c>
      <c r="H90" s="508">
        <v>0</v>
      </c>
      <c r="I90" s="508">
        <v>0</v>
      </c>
      <c r="J90" s="509">
        <v>0</v>
      </c>
      <c r="K90" s="506">
        <v>0</v>
      </c>
      <c r="L90" s="507">
        <v>0</v>
      </c>
      <c r="M90" s="507">
        <v>5.9794509011285163E-2</v>
      </c>
      <c r="N90" s="507">
        <v>4.2387652912467516E-2</v>
      </c>
      <c r="O90" s="506">
        <v>5.6066329318413988E-2</v>
      </c>
      <c r="P90" s="506">
        <v>0</v>
      </c>
      <c r="Q90" s="507">
        <v>0</v>
      </c>
      <c r="R90" s="507">
        <v>0</v>
      </c>
      <c r="S90" s="515">
        <v>0</v>
      </c>
      <c r="T90" s="536"/>
      <c r="U90" s="542"/>
    </row>
    <row r="91" spans="1:21">
      <c r="A91" s="479"/>
      <c r="B91" s="4" t="s">
        <v>59</v>
      </c>
      <c r="C91" s="506">
        <v>0</v>
      </c>
      <c r="D91" s="508">
        <v>0</v>
      </c>
      <c r="E91" s="508">
        <v>0</v>
      </c>
      <c r="F91" s="508">
        <v>0</v>
      </c>
      <c r="G91" s="508">
        <v>0</v>
      </c>
      <c r="H91" s="508">
        <v>0</v>
      </c>
      <c r="I91" s="508">
        <v>0</v>
      </c>
      <c r="J91" s="509">
        <v>0</v>
      </c>
      <c r="K91" s="506">
        <v>0</v>
      </c>
      <c r="L91" s="507">
        <v>0</v>
      </c>
      <c r="M91" s="507">
        <v>5.7107328617844871E-2</v>
      </c>
      <c r="N91" s="507">
        <v>7.1991988907718379E-2</v>
      </c>
      <c r="O91" s="506">
        <v>6.0447252978978627E-2</v>
      </c>
      <c r="P91" s="506">
        <v>0</v>
      </c>
      <c r="Q91" s="507">
        <v>0</v>
      </c>
      <c r="R91" s="507">
        <v>0</v>
      </c>
      <c r="S91" s="515">
        <v>0</v>
      </c>
      <c r="T91" s="543"/>
      <c r="U91" s="550"/>
    </row>
    <row r="92" spans="1:21">
      <c r="A92" s="479"/>
      <c r="B92" s="505" t="s">
        <v>105</v>
      </c>
      <c r="C92" s="616">
        <v>0</v>
      </c>
      <c r="D92" s="658">
        <v>0</v>
      </c>
      <c r="E92" s="658">
        <v>0</v>
      </c>
      <c r="F92" s="658">
        <v>0</v>
      </c>
      <c r="G92" s="658">
        <v>0</v>
      </c>
      <c r="H92" s="658">
        <v>0</v>
      </c>
      <c r="I92" s="658">
        <v>0</v>
      </c>
      <c r="J92" s="667">
        <v>0</v>
      </c>
      <c r="K92" s="616">
        <v>0</v>
      </c>
      <c r="L92" s="653">
        <v>0</v>
      </c>
      <c r="M92" s="653">
        <v>-0.26871803934402916</v>
      </c>
      <c r="N92" s="653">
        <v>2.9604335995250866</v>
      </c>
      <c r="O92" s="616">
        <v>0.43809236605646396</v>
      </c>
      <c r="P92" s="616">
        <v>0</v>
      </c>
      <c r="Q92" s="653">
        <v>0</v>
      </c>
      <c r="R92" s="653">
        <v>0</v>
      </c>
      <c r="S92" s="717">
        <v>0</v>
      </c>
      <c r="T92" s="510"/>
      <c r="U92" s="528"/>
    </row>
    <row r="93" spans="1:21">
      <c r="A93" s="479"/>
      <c r="B93" s="4" t="s">
        <v>61</v>
      </c>
      <c r="C93" s="506">
        <v>0</v>
      </c>
      <c r="D93" s="508">
        <v>0</v>
      </c>
      <c r="E93" s="508">
        <v>0</v>
      </c>
      <c r="F93" s="508">
        <v>0</v>
      </c>
      <c r="G93" s="508">
        <v>0</v>
      </c>
      <c r="H93" s="508">
        <v>0</v>
      </c>
      <c r="I93" s="508">
        <v>0</v>
      </c>
      <c r="J93" s="509">
        <v>0</v>
      </c>
      <c r="K93" s="506">
        <v>0</v>
      </c>
      <c r="L93" s="507">
        <v>0</v>
      </c>
      <c r="M93" s="507">
        <v>0</v>
      </c>
      <c r="N93" s="507">
        <v>0</v>
      </c>
      <c r="O93" s="506">
        <v>0</v>
      </c>
      <c r="P93" s="506">
        <v>0</v>
      </c>
      <c r="Q93" s="507">
        <v>0</v>
      </c>
      <c r="R93" s="507">
        <v>0</v>
      </c>
      <c r="S93" s="515">
        <v>0</v>
      </c>
      <c r="T93" s="536"/>
      <c r="U93" s="542"/>
    </row>
    <row r="94" spans="1:21">
      <c r="A94" s="479"/>
      <c r="B94" s="4" t="s">
        <v>63</v>
      </c>
      <c r="C94" s="506">
        <v>0</v>
      </c>
      <c r="D94" s="508">
        <v>0</v>
      </c>
      <c r="E94" s="508">
        <v>0</v>
      </c>
      <c r="F94" s="508">
        <v>0</v>
      </c>
      <c r="G94" s="508">
        <v>0</v>
      </c>
      <c r="H94" s="508">
        <v>0</v>
      </c>
      <c r="I94" s="508">
        <v>0</v>
      </c>
      <c r="J94" s="509">
        <v>0</v>
      </c>
      <c r="K94" s="506">
        <v>0</v>
      </c>
      <c r="L94" s="507">
        <v>0</v>
      </c>
      <c r="M94" s="507">
        <v>0</v>
      </c>
      <c r="N94" s="507">
        <v>0</v>
      </c>
      <c r="O94" s="506">
        <v>0</v>
      </c>
      <c r="P94" s="506">
        <v>0</v>
      </c>
      <c r="Q94" s="507">
        <v>0</v>
      </c>
      <c r="R94" s="507">
        <v>0</v>
      </c>
      <c r="S94" s="515">
        <v>0</v>
      </c>
      <c r="T94" s="543"/>
      <c r="U94" s="550"/>
    </row>
    <row r="95" spans="1:21">
      <c r="A95" s="479"/>
      <c r="B95" s="505" t="s">
        <v>91</v>
      </c>
      <c r="C95" s="616">
        <v>0</v>
      </c>
      <c r="D95" s="658">
        <v>0</v>
      </c>
      <c r="E95" s="658">
        <v>0</v>
      </c>
      <c r="F95" s="658">
        <v>0</v>
      </c>
      <c r="G95" s="658">
        <v>0</v>
      </c>
      <c r="H95" s="658">
        <v>0</v>
      </c>
      <c r="I95" s="658">
        <v>0</v>
      </c>
      <c r="J95" s="667">
        <v>0</v>
      </c>
      <c r="K95" s="616">
        <v>0</v>
      </c>
      <c r="L95" s="653">
        <v>0</v>
      </c>
      <c r="M95" s="653">
        <v>0</v>
      </c>
      <c r="N95" s="653">
        <v>0</v>
      </c>
      <c r="O95" s="616">
        <v>0</v>
      </c>
      <c r="P95" s="616">
        <v>0</v>
      </c>
      <c r="Q95" s="653">
        <v>0</v>
      </c>
      <c r="R95" s="653">
        <v>0</v>
      </c>
      <c r="S95" s="717">
        <v>0</v>
      </c>
      <c r="T95" s="510"/>
      <c r="U95" s="528"/>
    </row>
    <row r="96" spans="1:21">
      <c r="A96" s="479"/>
      <c r="B96" s="4" t="s">
        <v>47</v>
      </c>
      <c r="C96" s="506">
        <v>0.93278768828836189</v>
      </c>
      <c r="D96" s="508">
        <v>0</v>
      </c>
      <c r="E96" s="508">
        <v>0</v>
      </c>
      <c r="F96" s="508">
        <v>0</v>
      </c>
      <c r="G96" s="508">
        <v>0</v>
      </c>
      <c r="H96" s="508">
        <v>0</v>
      </c>
      <c r="I96" s="508">
        <v>0</v>
      </c>
      <c r="J96" s="509">
        <v>0.93278768828836189</v>
      </c>
      <c r="K96" s="506">
        <v>0</v>
      </c>
      <c r="L96" s="507">
        <v>0</v>
      </c>
      <c r="M96" s="507">
        <v>0</v>
      </c>
      <c r="N96" s="507">
        <v>0</v>
      </c>
      <c r="O96" s="506">
        <v>0</v>
      </c>
      <c r="P96" s="506">
        <v>0</v>
      </c>
      <c r="Q96" s="507">
        <v>0</v>
      </c>
      <c r="R96" s="507">
        <v>0</v>
      </c>
      <c r="S96" s="515">
        <v>0</v>
      </c>
      <c r="T96" s="536"/>
      <c r="U96" s="542"/>
    </row>
    <row r="97" spans="1:21">
      <c r="A97" s="479"/>
      <c r="B97" s="4" t="s">
        <v>65</v>
      </c>
      <c r="C97" s="506">
        <v>0.93180215573687919</v>
      </c>
      <c r="D97" s="508">
        <v>0</v>
      </c>
      <c r="E97" s="508">
        <v>0</v>
      </c>
      <c r="F97" s="508">
        <v>0.97879858657243812</v>
      </c>
      <c r="G97" s="508">
        <v>0</v>
      </c>
      <c r="H97" s="508">
        <v>0</v>
      </c>
      <c r="I97" s="508">
        <v>0</v>
      </c>
      <c r="J97" s="509">
        <v>0.9376653147593017</v>
      </c>
      <c r="K97" s="506">
        <v>0</v>
      </c>
      <c r="L97" s="507">
        <v>0</v>
      </c>
      <c r="M97" s="507">
        <v>0</v>
      </c>
      <c r="N97" s="507">
        <v>0</v>
      </c>
      <c r="O97" s="506">
        <v>0</v>
      </c>
      <c r="P97" s="506">
        <v>0</v>
      </c>
      <c r="Q97" s="507">
        <v>0</v>
      </c>
      <c r="R97" s="507">
        <v>0</v>
      </c>
      <c r="S97" s="515">
        <v>0</v>
      </c>
      <c r="T97" s="543"/>
      <c r="U97" s="550"/>
    </row>
    <row r="98" spans="1:21">
      <c r="A98" s="479"/>
      <c r="B98" s="505" t="s">
        <v>89</v>
      </c>
      <c r="C98" s="616">
        <v>-9.8553255148270402E-2</v>
      </c>
      <c r="D98" s="658">
        <v>0</v>
      </c>
      <c r="E98" s="658">
        <v>0</v>
      </c>
      <c r="F98" s="658">
        <v>0</v>
      </c>
      <c r="G98" s="658">
        <v>0</v>
      </c>
      <c r="H98" s="658">
        <v>0</v>
      </c>
      <c r="I98" s="658">
        <v>0</v>
      </c>
      <c r="J98" s="667">
        <v>0.48776264709398109</v>
      </c>
      <c r="K98" s="616">
        <v>0</v>
      </c>
      <c r="L98" s="653">
        <v>0</v>
      </c>
      <c r="M98" s="653">
        <v>0</v>
      </c>
      <c r="N98" s="653">
        <v>0</v>
      </c>
      <c r="O98" s="616">
        <v>0</v>
      </c>
      <c r="P98" s="616">
        <v>0</v>
      </c>
      <c r="Q98" s="653">
        <v>0</v>
      </c>
      <c r="R98" s="653">
        <v>0</v>
      </c>
      <c r="S98" s="717">
        <v>0</v>
      </c>
      <c r="T98" s="510"/>
      <c r="U98" s="528"/>
    </row>
    <row r="99" spans="1:21">
      <c r="A99" s="479"/>
      <c r="B99" s="4" t="s">
        <v>67</v>
      </c>
      <c r="C99" s="506">
        <v>0</v>
      </c>
      <c r="D99" s="508">
        <v>0</v>
      </c>
      <c r="E99" s="508">
        <v>0</v>
      </c>
      <c r="F99" s="508">
        <v>0</v>
      </c>
      <c r="G99" s="508">
        <v>0</v>
      </c>
      <c r="H99" s="508">
        <v>0</v>
      </c>
      <c r="I99" s="508">
        <v>0</v>
      </c>
      <c r="J99" s="509">
        <v>0</v>
      </c>
      <c r="K99" s="506">
        <v>0</v>
      </c>
      <c r="L99" s="507">
        <v>0</v>
      </c>
      <c r="M99" s="507">
        <v>0</v>
      </c>
      <c r="N99" s="507">
        <v>0</v>
      </c>
      <c r="O99" s="506">
        <v>0</v>
      </c>
      <c r="P99" s="506">
        <v>0</v>
      </c>
      <c r="Q99" s="507">
        <v>0</v>
      </c>
      <c r="R99" s="507">
        <v>0</v>
      </c>
      <c r="S99" s="515">
        <v>0</v>
      </c>
      <c r="T99" s="536"/>
      <c r="U99" s="542"/>
    </row>
    <row r="100" spans="1:21">
      <c r="A100" s="479"/>
      <c r="B100" s="4" t="s">
        <v>69</v>
      </c>
      <c r="C100" s="506">
        <v>0</v>
      </c>
      <c r="D100" s="508">
        <v>0</v>
      </c>
      <c r="E100" s="508">
        <v>0</v>
      </c>
      <c r="F100" s="508">
        <v>0</v>
      </c>
      <c r="G100" s="508">
        <v>0</v>
      </c>
      <c r="H100" s="508">
        <v>0</v>
      </c>
      <c r="I100" s="508">
        <v>0</v>
      </c>
      <c r="J100" s="509">
        <v>0</v>
      </c>
      <c r="K100" s="506">
        <v>0</v>
      </c>
      <c r="L100" s="507">
        <v>0</v>
      </c>
      <c r="M100" s="507">
        <v>0</v>
      </c>
      <c r="N100" s="507">
        <v>0</v>
      </c>
      <c r="O100" s="506">
        <v>0</v>
      </c>
      <c r="P100" s="506">
        <v>0</v>
      </c>
      <c r="Q100" s="507">
        <v>0</v>
      </c>
      <c r="R100" s="507">
        <v>0</v>
      </c>
      <c r="S100" s="515">
        <v>0</v>
      </c>
      <c r="T100" s="543"/>
      <c r="U100" s="550"/>
    </row>
    <row r="101" spans="1:21">
      <c r="A101" s="479"/>
      <c r="B101" s="505" t="s">
        <v>93</v>
      </c>
      <c r="C101" s="616">
        <v>0</v>
      </c>
      <c r="D101" s="658">
        <v>0</v>
      </c>
      <c r="E101" s="658">
        <v>0</v>
      </c>
      <c r="F101" s="658">
        <v>0</v>
      </c>
      <c r="G101" s="658">
        <v>0</v>
      </c>
      <c r="H101" s="658">
        <v>0</v>
      </c>
      <c r="I101" s="658">
        <v>0</v>
      </c>
      <c r="J101" s="667">
        <v>0</v>
      </c>
      <c r="K101" s="616">
        <v>0</v>
      </c>
      <c r="L101" s="653">
        <v>0</v>
      </c>
      <c r="M101" s="653">
        <v>0</v>
      </c>
      <c r="N101" s="653">
        <v>0</v>
      </c>
      <c r="O101" s="616">
        <v>0</v>
      </c>
      <c r="P101" s="616">
        <v>0</v>
      </c>
      <c r="Q101" s="653">
        <v>0</v>
      </c>
      <c r="R101" s="653">
        <v>0</v>
      </c>
      <c r="S101" s="717">
        <v>0</v>
      </c>
      <c r="T101" s="510"/>
      <c r="U101" s="528"/>
    </row>
    <row r="102" spans="1:21">
      <c r="A102" s="479"/>
      <c r="B102" s="4" t="s">
        <v>71</v>
      </c>
      <c r="C102" s="506">
        <v>6.502837082091685E-2</v>
      </c>
      <c r="D102" s="508">
        <v>0</v>
      </c>
      <c r="E102" s="508">
        <v>0</v>
      </c>
      <c r="F102" s="508">
        <v>0</v>
      </c>
      <c r="G102" s="508">
        <v>0</v>
      </c>
      <c r="H102" s="508">
        <v>0</v>
      </c>
      <c r="I102" s="508">
        <v>0</v>
      </c>
      <c r="J102" s="509">
        <v>6.502837082091685E-2</v>
      </c>
      <c r="K102" s="506">
        <v>0</v>
      </c>
      <c r="L102" s="507">
        <v>0</v>
      </c>
      <c r="M102" s="507">
        <v>0</v>
      </c>
      <c r="N102" s="507">
        <v>0</v>
      </c>
      <c r="O102" s="506">
        <v>0</v>
      </c>
      <c r="P102" s="506">
        <v>0</v>
      </c>
      <c r="Q102" s="507">
        <v>0</v>
      </c>
      <c r="R102" s="507">
        <v>0</v>
      </c>
      <c r="S102" s="515">
        <v>0</v>
      </c>
      <c r="T102" s="536"/>
      <c r="U102" s="542"/>
    </row>
    <row r="103" spans="1:21">
      <c r="A103" s="479"/>
      <c r="B103" s="4" t="s">
        <v>73</v>
      </c>
      <c r="C103" s="506">
        <v>6.3483429031933117E-2</v>
      </c>
      <c r="D103" s="508">
        <v>0</v>
      </c>
      <c r="E103" s="508">
        <v>0</v>
      </c>
      <c r="F103" s="508">
        <v>2.1201413427561839E-2</v>
      </c>
      <c r="G103" s="508">
        <v>0</v>
      </c>
      <c r="H103" s="508">
        <v>0</v>
      </c>
      <c r="I103" s="508">
        <v>0</v>
      </c>
      <c r="J103" s="509">
        <v>5.8208428848527595E-2</v>
      </c>
      <c r="K103" s="506">
        <v>0</v>
      </c>
      <c r="L103" s="507">
        <v>0</v>
      </c>
      <c r="M103" s="507">
        <v>0</v>
      </c>
      <c r="N103" s="507">
        <v>0</v>
      </c>
      <c r="O103" s="506">
        <v>0</v>
      </c>
      <c r="P103" s="506">
        <v>0</v>
      </c>
      <c r="Q103" s="507">
        <v>0</v>
      </c>
      <c r="R103" s="507">
        <v>0</v>
      </c>
      <c r="S103" s="515">
        <v>0</v>
      </c>
      <c r="T103" s="543"/>
      <c r="U103" s="550"/>
    </row>
    <row r="104" spans="1:21">
      <c r="A104" s="479"/>
      <c r="B104" s="505" t="s">
        <v>99</v>
      </c>
      <c r="C104" s="616">
        <v>-0.15449417889837336</v>
      </c>
      <c r="D104" s="658">
        <v>0</v>
      </c>
      <c r="E104" s="658">
        <v>0</v>
      </c>
      <c r="F104" s="658">
        <v>0</v>
      </c>
      <c r="G104" s="658">
        <v>0</v>
      </c>
      <c r="H104" s="658">
        <v>0</v>
      </c>
      <c r="I104" s="658">
        <v>0</v>
      </c>
      <c r="J104" s="667">
        <v>-0.68199419723892551</v>
      </c>
      <c r="K104" s="616">
        <v>0</v>
      </c>
      <c r="L104" s="653">
        <v>0</v>
      </c>
      <c r="M104" s="653">
        <v>0</v>
      </c>
      <c r="N104" s="653">
        <v>0</v>
      </c>
      <c r="O104" s="616">
        <v>0</v>
      </c>
      <c r="P104" s="616">
        <v>0</v>
      </c>
      <c r="Q104" s="653">
        <v>0</v>
      </c>
      <c r="R104" s="653">
        <v>0</v>
      </c>
      <c r="S104" s="717">
        <v>0</v>
      </c>
      <c r="T104" s="510"/>
      <c r="U104" s="528"/>
    </row>
    <row r="105" spans="1:21">
      <c r="A105" s="479"/>
      <c r="B105" s="4" t="s">
        <v>75</v>
      </c>
      <c r="C105" s="506">
        <v>2.1839408907213128E-3</v>
      </c>
      <c r="D105" s="508">
        <v>0</v>
      </c>
      <c r="E105" s="508">
        <v>0</v>
      </c>
      <c r="F105" s="508">
        <v>0</v>
      </c>
      <c r="G105" s="508">
        <v>0</v>
      </c>
      <c r="H105" s="508">
        <v>0</v>
      </c>
      <c r="I105" s="508">
        <v>0</v>
      </c>
      <c r="J105" s="509">
        <v>2.1839408907213128E-3</v>
      </c>
      <c r="K105" s="506">
        <v>0</v>
      </c>
      <c r="L105" s="507">
        <v>0</v>
      </c>
      <c r="M105" s="507">
        <v>0</v>
      </c>
      <c r="N105" s="507">
        <v>0</v>
      </c>
      <c r="O105" s="506">
        <v>0</v>
      </c>
      <c r="P105" s="506">
        <v>0</v>
      </c>
      <c r="Q105" s="507">
        <v>0</v>
      </c>
      <c r="R105" s="507">
        <v>0</v>
      </c>
      <c r="S105" s="515">
        <v>0</v>
      </c>
      <c r="T105" s="536"/>
      <c r="U105" s="542"/>
    </row>
    <row r="106" spans="1:21">
      <c r="A106" s="479"/>
      <c r="B106" s="4" t="s">
        <v>77</v>
      </c>
      <c r="C106" s="506">
        <v>4.7144152311876701E-3</v>
      </c>
      <c r="D106" s="508">
        <v>0</v>
      </c>
      <c r="E106" s="508">
        <v>0</v>
      </c>
      <c r="F106" s="508">
        <v>0</v>
      </c>
      <c r="G106" s="508">
        <v>0</v>
      </c>
      <c r="H106" s="508">
        <v>0</v>
      </c>
      <c r="I106" s="508">
        <v>0</v>
      </c>
      <c r="J106" s="509">
        <v>4.1262563921706926E-3</v>
      </c>
      <c r="K106" s="506">
        <v>0</v>
      </c>
      <c r="L106" s="507">
        <v>0</v>
      </c>
      <c r="M106" s="507">
        <v>0</v>
      </c>
      <c r="N106" s="507">
        <v>0</v>
      </c>
      <c r="O106" s="506">
        <v>0</v>
      </c>
      <c r="P106" s="506">
        <v>0</v>
      </c>
      <c r="Q106" s="507">
        <v>0</v>
      </c>
      <c r="R106" s="507">
        <v>0</v>
      </c>
      <c r="S106" s="515">
        <v>0</v>
      </c>
      <c r="T106" s="543"/>
      <c r="U106" s="550"/>
    </row>
    <row r="107" spans="1:21">
      <c r="A107" s="479"/>
      <c r="B107" s="505" t="s">
        <v>101</v>
      </c>
      <c r="C107" s="616">
        <v>0.25304743404663571</v>
      </c>
      <c r="D107" s="658">
        <v>0</v>
      </c>
      <c r="E107" s="658">
        <v>0</v>
      </c>
      <c r="F107" s="658">
        <v>0</v>
      </c>
      <c r="G107" s="658">
        <v>0</v>
      </c>
      <c r="H107" s="658">
        <v>0</v>
      </c>
      <c r="I107" s="658">
        <v>0</v>
      </c>
      <c r="J107" s="667">
        <v>0.19423155014493798</v>
      </c>
      <c r="K107" s="616">
        <v>0</v>
      </c>
      <c r="L107" s="653">
        <v>0</v>
      </c>
      <c r="M107" s="653">
        <v>0</v>
      </c>
      <c r="N107" s="653">
        <v>0</v>
      </c>
      <c r="O107" s="616">
        <v>0</v>
      </c>
      <c r="P107" s="616">
        <v>0</v>
      </c>
      <c r="Q107" s="653">
        <v>0</v>
      </c>
      <c r="R107" s="653">
        <v>0</v>
      </c>
      <c r="S107" s="717">
        <v>0</v>
      </c>
      <c r="T107" s="510"/>
      <c r="U107" s="528"/>
    </row>
    <row r="108" spans="1:21">
      <c r="A108" s="479"/>
      <c r="B108" s="4" t="s">
        <v>79</v>
      </c>
      <c r="C108" s="506">
        <v>0</v>
      </c>
      <c r="D108" s="508">
        <v>0</v>
      </c>
      <c r="E108" s="508">
        <v>0</v>
      </c>
      <c r="F108" s="508">
        <v>0</v>
      </c>
      <c r="G108" s="508">
        <v>0</v>
      </c>
      <c r="H108" s="508">
        <v>0</v>
      </c>
      <c r="I108" s="508">
        <v>0</v>
      </c>
      <c r="J108" s="509">
        <v>0</v>
      </c>
      <c r="K108" s="506">
        <v>0</v>
      </c>
      <c r="L108" s="507">
        <v>0</v>
      </c>
      <c r="M108" s="507">
        <v>0</v>
      </c>
      <c r="N108" s="507">
        <v>0</v>
      </c>
      <c r="O108" s="506">
        <v>0</v>
      </c>
      <c r="P108" s="506">
        <v>0</v>
      </c>
      <c r="Q108" s="507">
        <v>0</v>
      </c>
      <c r="R108" s="507">
        <v>0</v>
      </c>
      <c r="S108" s="515">
        <v>0</v>
      </c>
      <c r="T108" s="536"/>
      <c r="U108" s="542"/>
    </row>
    <row r="109" spans="1:21">
      <c r="A109" s="479"/>
      <c r="B109" s="4" t="s">
        <v>81</v>
      </c>
      <c r="C109" s="506">
        <v>0</v>
      </c>
      <c r="D109" s="508">
        <v>0</v>
      </c>
      <c r="E109" s="508">
        <v>0</v>
      </c>
      <c r="F109" s="508">
        <v>0</v>
      </c>
      <c r="G109" s="508">
        <v>0</v>
      </c>
      <c r="H109" s="508">
        <v>0</v>
      </c>
      <c r="I109" s="508">
        <v>0</v>
      </c>
      <c r="J109" s="509">
        <v>0</v>
      </c>
      <c r="K109" s="506">
        <v>0</v>
      </c>
      <c r="L109" s="507">
        <v>0</v>
      </c>
      <c r="M109" s="507">
        <v>0</v>
      </c>
      <c r="N109" s="507">
        <v>0</v>
      </c>
      <c r="O109" s="506">
        <v>0</v>
      </c>
      <c r="P109" s="506">
        <v>0</v>
      </c>
      <c r="Q109" s="507">
        <v>0</v>
      </c>
      <c r="R109" s="507">
        <v>0</v>
      </c>
      <c r="S109" s="515">
        <v>0</v>
      </c>
      <c r="T109" s="543"/>
      <c r="U109" s="550"/>
    </row>
    <row r="110" spans="1:21">
      <c r="A110" s="479"/>
      <c r="B110" s="505" t="s">
        <v>107</v>
      </c>
      <c r="C110" s="616">
        <v>0</v>
      </c>
      <c r="D110" s="658">
        <v>0</v>
      </c>
      <c r="E110" s="658">
        <v>0</v>
      </c>
      <c r="F110" s="658">
        <v>0</v>
      </c>
      <c r="G110" s="658">
        <v>0</v>
      </c>
      <c r="H110" s="658">
        <v>0</v>
      </c>
      <c r="I110" s="658">
        <v>0</v>
      </c>
      <c r="J110" s="667">
        <v>0</v>
      </c>
      <c r="K110" s="616">
        <v>0</v>
      </c>
      <c r="L110" s="653">
        <v>0</v>
      </c>
      <c r="M110" s="653">
        <v>0</v>
      </c>
      <c r="N110" s="653">
        <v>0</v>
      </c>
      <c r="O110" s="616">
        <v>0</v>
      </c>
      <c r="P110" s="616">
        <v>0</v>
      </c>
      <c r="Q110" s="653">
        <v>0</v>
      </c>
      <c r="R110" s="653">
        <v>0</v>
      </c>
      <c r="S110" s="717">
        <v>0</v>
      </c>
      <c r="T110" s="551"/>
      <c r="U110" s="554"/>
    </row>
    <row r="111" spans="1:21">
      <c r="A111" s="479"/>
      <c r="B111" s="4" t="s">
        <v>83</v>
      </c>
      <c r="C111" s="506">
        <v>0</v>
      </c>
      <c r="D111" s="508">
        <v>0</v>
      </c>
      <c r="E111" s="508">
        <v>0</v>
      </c>
      <c r="F111" s="508">
        <v>0</v>
      </c>
      <c r="G111" s="508">
        <v>0</v>
      </c>
      <c r="H111" s="508">
        <v>0</v>
      </c>
      <c r="I111" s="508">
        <v>0</v>
      </c>
      <c r="J111" s="509">
        <v>0</v>
      </c>
      <c r="K111" s="506">
        <v>0</v>
      </c>
      <c r="L111" s="507">
        <v>0</v>
      </c>
      <c r="M111" s="507">
        <v>0</v>
      </c>
      <c r="N111" s="507">
        <v>0</v>
      </c>
      <c r="O111" s="506">
        <v>0</v>
      </c>
      <c r="P111" s="506">
        <v>0</v>
      </c>
      <c r="Q111" s="507">
        <v>0</v>
      </c>
      <c r="R111" s="507">
        <v>0</v>
      </c>
      <c r="S111" s="515">
        <v>0</v>
      </c>
      <c r="T111" s="506"/>
      <c r="U111" s="527"/>
    </row>
    <row r="112" spans="1:21">
      <c r="A112" s="479"/>
      <c r="B112" s="4" t="s">
        <v>85</v>
      </c>
      <c r="C112" s="506">
        <v>0</v>
      </c>
      <c r="D112" s="508">
        <v>0</v>
      </c>
      <c r="E112" s="508">
        <v>0</v>
      </c>
      <c r="F112" s="508">
        <v>0</v>
      </c>
      <c r="G112" s="508">
        <v>0</v>
      </c>
      <c r="H112" s="508">
        <v>0</v>
      </c>
      <c r="I112" s="508">
        <v>0</v>
      </c>
      <c r="J112" s="509">
        <v>0</v>
      </c>
      <c r="K112" s="506">
        <v>0</v>
      </c>
      <c r="L112" s="507">
        <v>0</v>
      </c>
      <c r="M112" s="507">
        <v>0</v>
      </c>
      <c r="N112" s="507">
        <v>0</v>
      </c>
      <c r="O112" s="506">
        <v>0</v>
      </c>
      <c r="P112" s="506">
        <v>0</v>
      </c>
      <c r="Q112" s="507">
        <v>0</v>
      </c>
      <c r="R112" s="507">
        <v>0</v>
      </c>
      <c r="S112" s="515">
        <v>0</v>
      </c>
      <c r="T112" s="506"/>
      <c r="U112" s="527"/>
    </row>
    <row r="113" spans="1:21">
      <c r="A113" s="502"/>
      <c r="B113" s="609" t="s">
        <v>109</v>
      </c>
      <c r="C113" s="654">
        <v>0</v>
      </c>
      <c r="D113" s="655">
        <v>0</v>
      </c>
      <c r="E113" s="655">
        <v>0</v>
      </c>
      <c r="F113" s="655">
        <v>0</v>
      </c>
      <c r="G113" s="655">
        <v>0</v>
      </c>
      <c r="H113" s="655">
        <v>0</v>
      </c>
      <c r="I113" s="655">
        <v>0</v>
      </c>
      <c r="J113" s="659">
        <v>0</v>
      </c>
      <c r="K113" s="654">
        <v>0</v>
      </c>
      <c r="L113" s="655">
        <v>0</v>
      </c>
      <c r="M113" s="655">
        <v>0</v>
      </c>
      <c r="N113" s="655">
        <v>0</v>
      </c>
      <c r="O113" s="654">
        <v>0</v>
      </c>
      <c r="P113" s="654">
        <v>0</v>
      </c>
      <c r="Q113" s="655">
        <v>0</v>
      </c>
      <c r="R113" s="655">
        <v>0</v>
      </c>
      <c r="S113" s="718">
        <v>0</v>
      </c>
      <c r="T113" s="510"/>
      <c r="U113" s="528"/>
    </row>
    <row r="114" spans="1:21">
      <c r="A114" s="478" t="s">
        <v>216</v>
      </c>
      <c r="B114" s="3" t="s">
        <v>39</v>
      </c>
      <c r="C114" s="663">
        <v>0.77068765158662356</v>
      </c>
      <c r="D114" s="464">
        <v>0.62810436829695493</v>
      </c>
      <c r="E114" s="464">
        <v>0.88268424482545838</v>
      </c>
      <c r="F114" s="464">
        <v>0.80645030302415055</v>
      </c>
      <c r="G114" s="464">
        <v>0</v>
      </c>
      <c r="H114" s="626">
        <v>1</v>
      </c>
      <c r="I114" s="464">
        <v>0</v>
      </c>
      <c r="J114" s="466">
        <v>0.75780726997882764</v>
      </c>
      <c r="K114" s="463">
        <v>0.83597048512774985</v>
      </c>
      <c r="L114" s="627">
        <v>0.83044046482724287</v>
      </c>
      <c r="M114" s="464">
        <v>0.7962268989082012</v>
      </c>
      <c r="N114" s="628">
        <v>0.71042401229545249</v>
      </c>
      <c r="O114" s="626">
        <v>0.82828880643046277</v>
      </c>
      <c r="P114" s="463">
        <v>0</v>
      </c>
      <c r="Q114" s="464">
        <v>0</v>
      </c>
      <c r="R114" s="464">
        <v>0</v>
      </c>
      <c r="S114" s="516">
        <v>0</v>
      </c>
      <c r="T114" s="536"/>
      <c r="U114" s="542"/>
    </row>
    <row r="115" spans="1:21">
      <c r="A115" s="479"/>
      <c r="B115" s="4" t="s">
        <v>41</v>
      </c>
      <c r="C115" s="506">
        <v>0.76646051286627304</v>
      </c>
      <c r="D115" s="508">
        <v>0.67884466910647201</v>
      </c>
      <c r="E115" s="508">
        <v>0.87764621456763547</v>
      </c>
      <c r="F115" s="508">
        <v>0.8072352119655809</v>
      </c>
      <c r="G115" s="508">
        <v>0</v>
      </c>
      <c r="H115" s="614">
        <v>1</v>
      </c>
      <c r="I115" s="508">
        <v>0</v>
      </c>
      <c r="J115" s="509">
        <v>0.76565347912146298</v>
      </c>
      <c r="K115" s="506">
        <v>0.82733631967151888</v>
      </c>
      <c r="L115" s="621">
        <v>0.81160218934099271</v>
      </c>
      <c r="M115" s="508">
        <v>0.77313475773391416</v>
      </c>
      <c r="N115" s="622">
        <v>0.66253710156149181</v>
      </c>
      <c r="O115" s="614">
        <v>0.81141544586311276</v>
      </c>
      <c r="P115" s="506">
        <v>0</v>
      </c>
      <c r="Q115" s="507">
        <v>0</v>
      </c>
      <c r="R115" s="507">
        <v>0</v>
      </c>
      <c r="S115" s="515">
        <v>0</v>
      </c>
      <c r="T115" s="543"/>
      <c r="U115" s="550"/>
    </row>
    <row r="116" spans="1:21" ht="13.5" thickBot="1">
      <c r="A116" s="479"/>
      <c r="B116" s="505" t="s">
        <v>87</v>
      </c>
      <c r="C116" s="510">
        <v>-0.42271387203505206</v>
      </c>
      <c r="D116" s="512">
        <v>5.074030080951708</v>
      </c>
      <c r="E116" s="512">
        <v>-0.50380302578229008</v>
      </c>
      <c r="F116" s="512">
        <v>7.8490894143035117E-2</v>
      </c>
      <c r="G116" s="512">
        <v>0</v>
      </c>
      <c r="H116" s="728">
        <v>0</v>
      </c>
      <c r="I116" s="512">
        <v>0</v>
      </c>
      <c r="J116" s="514">
        <v>0.78462091426353409</v>
      </c>
      <c r="K116" s="510">
        <v>-0.86341654562309689</v>
      </c>
      <c r="L116" s="729">
        <v>-1.8838275486250167</v>
      </c>
      <c r="M116" s="512">
        <v>-2.309214117428704</v>
      </c>
      <c r="N116" s="730">
        <v>-4.7886910733960679</v>
      </c>
      <c r="O116" s="731">
        <v>-1.6873360567350004</v>
      </c>
      <c r="P116" s="510">
        <v>0</v>
      </c>
      <c r="Q116" s="511">
        <v>0</v>
      </c>
      <c r="R116" s="511">
        <v>0</v>
      </c>
      <c r="S116" s="517">
        <v>0</v>
      </c>
      <c r="T116" s="510"/>
      <c r="U116" s="528"/>
    </row>
    <row r="117" spans="1:21">
      <c r="A117" s="479"/>
      <c r="B117" s="4" t="s">
        <v>43</v>
      </c>
      <c r="C117" s="506">
        <v>7.2705145543403876E-2</v>
      </c>
      <c r="D117" s="508">
        <v>0.1822494435207882</v>
      </c>
      <c r="E117" s="508">
        <v>2.4216105238268251E-2</v>
      </c>
      <c r="F117" s="508">
        <v>2.921619783365649E-2</v>
      </c>
      <c r="G117" s="508">
        <v>0</v>
      </c>
      <c r="H117" s="614">
        <v>0</v>
      </c>
      <c r="I117" s="508">
        <v>0</v>
      </c>
      <c r="J117" s="509">
        <v>8.7619378472988341E-2</v>
      </c>
      <c r="K117" s="506">
        <v>2.646898233904342E-2</v>
      </c>
      <c r="L117" s="621">
        <v>3.1076122644984557E-2</v>
      </c>
      <c r="M117" s="508">
        <v>4.7422502054460185E-2</v>
      </c>
      <c r="N117" s="622">
        <v>0.10057860952897568</v>
      </c>
      <c r="O117" s="614">
        <v>3.1675297617313941E-2</v>
      </c>
      <c r="P117" s="506">
        <v>0</v>
      </c>
      <c r="Q117" s="507">
        <v>0</v>
      </c>
      <c r="R117" s="507">
        <v>0</v>
      </c>
      <c r="S117" s="515">
        <v>0</v>
      </c>
      <c r="T117" s="536"/>
      <c r="U117" s="542"/>
    </row>
    <row r="118" spans="1:21">
      <c r="A118" s="479"/>
      <c r="B118" s="4" t="s">
        <v>45</v>
      </c>
      <c r="C118" s="506">
        <v>6.954394675326564E-2</v>
      </c>
      <c r="D118" s="508">
        <v>0.18819759383320972</v>
      </c>
      <c r="E118" s="508">
        <v>2.1386643402726477E-2</v>
      </c>
      <c r="F118" s="508">
        <v>2.4566382844528539E-2</v>
      </c>
      <c r="G118" s="508">
        <v>0</v>
      </c>
      <c r="H118" s="614">
        <v>0</v>
      </c>
      <c r="I118" s="508">
        <v>0</v>
      </c>
      <c r="J118" s="509">
        <v>8.5655208451366344E-2</v>
      </c>
      <c r="K118" s="506">
        <v>2.5463553099872048E-2</v>
      </c>
      <c r="L118" s="621">
        <v>2.5410157473387242E-2</v>
      </c>
      <c r="M118" s="508">
        <v>4.7629657729260477E-2</v>
      </c>
      <c r="N118" s="622">
        <v>7.6698068567987263E-2</v>
      </c>
      <c r="O118" s="614">
        <v>2.7594808527650467E-2</v>
      </c>
      <c r="P118" s="506">
        <v>0</v>
      </c>
      <c r="Q118" s="507">
        <v>0</v>
      </c>
      <c r="R118" s="507">
        <v>0</v>
      </c>
      <c r="S118" s="515">
        <v>0</v>
      </c>
      <c r="T118" s="543"/>
      <c r="U118" s="550"/>
    </row>
    <row r="119" spans="1:21" ht="13.5" thickBot="1">
      <c r="A119" s="479"/>
      <c r="B119" s="4" t="s">
        <v>95</v>
      </c>
      <c r="C119" s="616">
        <v>-0.31611987901382366</v>
      </c>
      <c r="D119" s="508">
        <v>0.59481503124215185</v>
      </c>
      <c r="E119" s="508">
        <v>-0.28294618355417733</v>
      </c>
      <c r="F119" s="508">
        <v>-0.46498149891279517</v>
      </c>
      <c r="G119" s="508">
        <v>0</v>
      </c>
      <c r="H119" s="619">
        <v>0</v>
      </c>
      <c r="I119" s="508">
        <v>0</v>
      </c>
      <c r="J119" s="509">
        <v>-0.19641700216219971</v>
      </c>
      <c r="K119" s="506">
        <v>-0.10054292391713723</v>
      </c>
      <c r="L119" s="623">
        <v>-0.56659651715973147</v>
      </c>
      <c r="M119" s="624">
        <v>2.0715567480029257E-2</v>
      </c>
      <c r="N119" s="625">
        <v>-2.3880540960988421</v>
      </c>
      <c r="O119" s="619">
        <v>-0.40804890896634743</v>
      </c>
      <c r="P119" s="506">
        <v>0</v>
      </c>
      <c r="Q119" s="507">
        <v>0</v>
      </c>
      <c r="R119" s="507">
        <v>0</v>
      </c>
      <c r="S119" s="515">
        <v>0</v>
      </c>
      <c r="T119" s="510"/>
      <c r="U119" s="528"/>
    </row>
    <row r="120" spans="1:21">
      <c r="A120" s="479"/>
      <c r="B120" s="4" t="s">
        <v>49</v>
      </c>
      <c r="C120" s="506">
        <v>8.5780314287912343E-2</v>
      </c>
      <c r="D120" s="508">
        <v>0.18251851039242994</v>
      </c>
      <c r="E120" s="508">
        <v>8.7904635028287686E-2</v>
      </c>
      <c r="F120" s="508">
        <v>0.13838610454079406</v>
      </c>
      <c r="G120" s="508">
        <v>0</v>
      </c>
      <c r="H120" s="508">
        <v>0</v>
      </c>
      <c r="I120" s="508">
        <v>0</v>
      </c>
      <c r="J120" s="509">
        <v>0.10776760103843427</v>
      </c>
      <c r="K120" s="506">
        <v>0.10817323148048925</v>
      </c>
      <c r="L120" s="507">
        <v>0.10482539808928182</v>
      </c>
      <c r="M120" s="507">
        <v>0.11456936660837973</v>
      </c>
      <c r="N120" s="507">
        <v>0.11574450772986168</v>
      </c>
      <c r="O120" s="506">
        <v>0.10655376205242517</v>
      </c>
      <c r="P120" s="506">
        <v>0</v>
      </c>
      <c r="Q120" s="507">
        <v>0</v>
      </c>
      <c r="R120" s="507">
        <v>0</v>
      </c>
      <c r="S120" s="515">
        <v>0</v>
      </c>
      <c r="T120" s="536"/>
      <c r="U120" s="542"/>
    </row>
    <row r="121" spans="1:21">
      <c r="A121" s="479"/>
      <c r="B121" s="4" t="s">
        <v>51</v>
      </c>
      <c r="C121" s="506">
        <v>9.6936066922366226E-2</v>
      </c>
      <c r="D121" s="508">
        <v>0.12533663841842255</v>
      </c>
      <c r="E121" s="508">
        <v>9.7083564917415363E-2</v>
      </c>
      <c r="F121" s="508">
        <v>0.16819840518989052</v>
      </c>
      <c r="G121" s="508">
        <v>0</v>
      </c>
      <c r="H121" s="508">
        <v>0</v>
      </c>
      <c r="I121" s="508">
        <v>0</v>
      </c>
      <c r="J121" s="509">
        <v>0.10485248722278045</v>
      </c>
      <c r="K121" s="506">
        <v>9.5753504208423601E-2</v>
      </c>
      <c r="L121" s="507">
        <v>0.12467979783680018</v>
      </c>
      <c r="M121" s="507">
        <v>0.13191194118883062</v>
      </c>
      <c r="N121" s="507">
        <v>0.14339484664687915</v>
      </c>
      <c r="O121" s="506">
        <v>0.11821336362450281</v>
      </c>
      <c r="P121" s="506">
        <v>0</v>
      </c>
      <c r="Q121" s="507">
        <v>0</v>
      </c>
      <c r="R121" s="507">
        <v>0</v>
      </c>
      <c r="S121" s="515">
        <v>0</v>
      </c>
      <c r="T121" s="543"/>
      <c r="U121" s="550"/>
    </row>
    <row r="122" spans="1:21">
      <c r="A122" s="479"/>
      <c r="B122" s="4" t="s">
        <v>97</v>
      </c>
      <c r="C122" s="616">
        <v>1.1155752634453884</v>
      </c>
      <c r="D122" s="508">
        <v>-5.7181871974007397</v>
      </c>
      <c r="E122" s="508">
        <v>0.9178929889127676</v>
      </c>
      <c r="F122" s="508">
        <v>2.9812300649096457</v>
      </c>
      <c r="G122" s="508">
        <v>0</v>
      </c>
      <c r="H122" s="508">
        <v>0</v>
      </c>
      <c r="I122" s="508">
        <v>0</v>
      </c>
      <c r="J122" s="509">
        <v>-0.29151138156538192</v>
      </c>
      <c r="K122" s="506">
        <v>-1.2419727272065653</v>
      </c>
      <c r="L122" s="507">
        <v>1.9854399747518361</v>
      </c>
      <c r="M122" s="507">
        <v>1.7342574580450896</v>
      </c>
      <c r="N122" s="507">
        <v>2.7650338917017474</v>
      </c>
      <c r="O122" s="506">
        <v>1.165960157207764</v>
      </c>
      <c r="P122" s="506">
        <v>0</v>
      </c>
      <c r="Q122" s="507">
        <v>0</v>
      </c>
      <c r="R122" s="507">
        <v>0</v>
      </c>
      <c r="S122" s="515">
        <v>0</v>
      </c>
      <c r="T122" s="510"/>
      <c r="U122" s="528"/>
    </row>
    <row r="123" spans="1:21">
      <c r="A123" s="479"/>
      <c r="B123" s="4" t="s">
        <v>53</v>
      </c>
      <c r="C123" s="506">
        <v>1.4295706783387524E-3</v>
      </c>
      <c r="D123" s="508">
        <v>6.1751958888360964E-3</v>
      </c>
      <c r="E123" s="669">
        <v>4.8074649503739974E-3</v>
      </c>
      <c r="F123" s="508">
        <v>0</v>
      </c>
      <c r="G123" s="508">
        <v>0</v>
      </c>
      <c r="H123" s="508">
        <v>0</v>
      </c>
      <c r="I123" s="508">
        <v>0</v>
      </c>
      <c r="J123" s="509">
        <v>2.839889271233837E-3</v>
      </c>
      <c r="K123" s="506">
        <v>1.2246834958590391E-4</v>
      </c>
      <c r="L123" s="507">
        <v>2.7681427663965403E-3</v>
      </c>
      <c r="M123" s="507">
        <v>1.1044654387276557E-2</v>
      </c>
      <c r="N123" s="507">
        <v>3.2614591809058853E-2</v>
      </c>
      <c r="O123" s="506">
        <v>2.9615131444815312E-3</v>
      </c>
      <c r="P123" s="506">
        <v>0</v>
      </c>
      <c r="Q123" s="507">
        <v>0</v>
      </c>
      <c r="R123" s="507">
        <v>0</v>
      </c>
      <c r="S123" s="515">
        <v>0</v>
      </c>
      <c r="T123" s="536"/>
      <c r="U123" s="542"/>
    </row>
    <row r="124" spans="1:21">
      <c r="A124" s="479"/>
      <c r="B124" s="4" t="s">
        <v>55</v>
      </c>
      <c r="C124" s="506">
        <v>8.7234790245985915E-3</v>
      </c>
      <c r="D124" s="508">
        <v>6.888549126411906E-3</v>
      </c>
      <c r="E124" s="508">
        <v>3.8835771122227147E-3</v>
      </c>
      <c r="F124" s="508">
        <v>0</v>
      </c>
      <c r="G124" s="669">
        <v>0</v>
      </c>
      <c r="H124" s="508">
        <v>0</v>
      </c>
      <c r="I124" s="508">
        <v>0</v>
      </c>
      <c r="J124" s="509">
        <v>7.3636989929618769E-3</v>
      </c>
      <c r="K124" s="506">
        <v>1.0554191435683288E-4</v>
      </c>
      <c r="L124" s="507">
        <v>2.7404779344276657E-3</v>
      </c>
      <c r="M124" s="507">
        <v>1.1888024120138143E-2</v>
      </c>
      <c r="N124" s="507">
        <v>4.110207768744354E-2</v>
      </c>
      <c r="O124" s="506">
        <v>3.0759581397742765E-3</v>
      </c>
      <c r="P124" s="506">
        <v>0</v>
      </c>
      <c r="Q124" s="507">
        <v>0</v>
      </c>
      <c r="R124" s="507">
        <v>0</v>
      </c>
      <c r="S124" s="515">
        <v>0</v>
      </c>
      <c r="T124" s="543"/>
      <c r="U124" s="550"/>
    </row>
    <row r="125" spans="1:21">
      <c r="A125" s="479"/>
      <c r="B125" s="4" t="s">
        <v>103</v>
      </c>
      <c r="C125" s="616">
        <v>0.72939083462598397</v>
      </c>
      <c r="D125" s="508">
        <v>7.1335323757580962E-2</v>
      </c>
      <c r="E125" s="508">
        <v>-9.2388783815128273E-2</v>
      </c>
      <c r="F125" s="508">
        <v>0</v>
      </c>
      <c r="G125" s="508">
        <v>0</v>
      </c>
      <c r="H125" s="508">
        <v>0</v>
      </c>
      <c r="I125" s="508">
        <v>0</v>
      </c>
      <c r="J125" s="509">
        <v>0.45238097217280404</v>
      </c>
      <c r="K125" s="506">
        <v>-1.6926435229071024E-3</v>
      </c>
      <c r="L125" s="507">
        <v>-2.7664831968874596E-3</v>
      </c>
      <c r="M125" s="507">
        <v>8.4336973286158579E-2</v>
      </c>
      <c r="N125" s="507">
        <v>0.84874858783846874</v>
      </c>
      <c r="O125" s="506">
        <v>1.1444499529274536E-2</v>
      </c>
      <c r="P125" s="506">
        <v>0</v>
      </c>
      <c r="Q125" s="507">
        <v>0</v>
      </c>
      <c r="R125" s="507">
        <v>0</v>
      </c>
      <c r="S125" s="515">
        <v>0</v>
      </c>
      <c r="T125" s="510"/>
      <c r="U125" s="528"/>
    </row>
    <row r="126" spans="1:21">
      <c r="A126" s="479"/>
      <c r="B126" s="4" t="s">
        <v>57</v>
      </c>
      <c r="C126" s="506">
        <v>6.7481607152256748E-2</v>
      </c>
      <c r="D126" s="508">
        <v>9.5248190099080359E-4</v>
      </c>
      <c r="E126" s="508">
        <v>3.8754995761172337E-4</v>
      </c>
      <c r="F126" s="508">
        <v>2.5947394601398884E-2</v>
      </c>
      <c r="G126" s="508">
        <v>0</v>
      </c>
      <c r="H126" s="508">
        <v>0</v>
      </c>
      <c r="I126" s="508">
        <v>0</v>
      </c>
      <c r="J126" s="509">
        <v>4.2781270000735477E-2</v>
      </c>
      <c r="K126" s="506">
        <v>1.2913266894253683E-2</v>
      </c>
      <c r="L126" s="507">
        <v>2.9626715603042218E-2</v>
      </c>
      <c r="M126" s="507">
        <v>3.0368937797742256E-2</v>
      </c>
      <c r="N126" s="507">
        <v>3.8671910315523007E-2</v>
      </c>
      <c r="O126" s="506">
        <v>2.5500883159516926E-2</v>
      </c>
      <c r="P126" s="506">
        <v>0</v>
      </c>
      <c r="Q126" s="507">
        <v>0</v>
      </c>
      <c r="R126" s="507">
        <v>0</v>
      </c>
      <c r="S126" s="515">
        <v>0</v>
      </c>
      <c r="T126" s="536"/>
      <c r="U126" s="542"/>
    </row>
    <row r="127" spans="1:21">
      <c r="A127" s="479"/>
      <c r="B127" s="4" t="s">
        <v>59</v>
      </c>
      <c r="C127" s="506">
        <v>5.6558864120465874E-2</v>
      </c>
      <c r="D127" s="508">
        <v>7.3254951548384743E-4</v>
      </c>
      <c r="E127" s="508">
        <v>0</v>
      </c>
      <c r="F127" s="508">
        <v>0</v>
      </c>
      <c r="G127" s="508">
        <v>0</v>
      </c>
      <c r="H127" s="508">
        <v>0</v>
      </c>
      <c r="I127" s="508">
        <v>0</v>
      </c>
      <c r="J127" s="509">
        <v>3.5368542365305025E-2</v>
      </c>
      <c r="K127" s="506">
        <v>4.1612911776116202E-2</v>
      </c>
      <c r="L127" s="507">
        <v>3.5153716951968679E-2</v>
      </c>
      <c r="M127" s="507">
        <v>3.4260918861062417E-2</v>
      </c>
      <c r="N127" s="507">
        <v>6.4588979223125564E-2</v>
      </c>
      <c r="O127" s="506">
        <v>3.6846023745372235E-2</v>
      </c>
      <c r="P127" s="506">
        <v>0</v>
      </c>
      <c r="Q127" s="507">
        <v>0</v>
      </c>
      <c r="R127" s="507">
        <v>0</v>
      </c>
      <c r="S127" s="515">
        <v>0</v>
      </c>
      <c r="T127" s="543"/>
      <c r="U127" s="550"/>
    </row>
    <row r="128" spans="1:21">
      <c r="A128" s="479"/>
      <c r="B128" s="4" t="s">
        <v>105</v>
      </c>
      <c r="C128" s="616">
        <v>-1.0922743031790874</v>
      </c>
      <c r="D128" s="508">
        <v>-2.1993238550695616E-2</v>
      </c>
      <c r="E128" s="508">
        <v>-3.8754995761172334E-2</v>
      </c>
      <c r="F128" s="508">
        <v>-2.5947394601398885</v>
      </c>
      <c r="G128" s="508">
        <v>0</v>
      </c>
      <c r="H128" s="508">
        <v>0</v>
      </c>
      <c r="I128" s="508">
        <v>0</v>
      </c>
      <c r="J128" s="509">
        <v>-0.74127276354304517</v>
      </c>
      <c r="K128" s="506">
        <v>2.8699644881862518</v>
      </c>
      <c r="L128" s="507">
        <v>0.55270013489264613</v>
      </c>
      <c r="M128" s="507">
        <v>0.38919810633201607</v>
      </c>
      <c r="N128" s="507">
        <v>2.5917068907602556</v>
      </c>
      <c r="O128" s="506">
        <v>1.1345140585855309</v>
      </c>
      <c r="P128" s="506">
        <v>0</v>
      </c>
      <c r="Q128" s="507">
        <v>0</v>
      </c>
      <c r="R128" s="507">
        <v>0</v>
      </c>
      <c r="S128" s="515">
        <v>0</v>
      </c>
      <c r="T128" s="510"/>
      <c r="U128" s="528"/>
    </row>
    <row r="129" spans="1:21">
      <c r="A129" s="479"/>
      <c r="B129" s="4" t="s">
        <v>61</v>
      </c>
      <c r="C129" s="506">
        <v>1.9157107514647469E-3</v>
      </c>
      <c r="D129" s="508">
        <v>0</v>
      </c>
      <c r="E129" s="508">
        <v>0</v>
      </c>
      <c r="F129" s="508">
        <v>0</v>
      </c>
      <c r="G129" s="508">
        <v>0</v>
      </c>
      <c r="H129" s="508">
        <v>0</v>
      </c>
      <c r="I129" s="508">
        <v>0</v>
      </c>
      <c r="J129" s="509">
        <v>1.1845912377804798E-3</v>
      </c>
      <c r="K129" s="506">
        <v>1.6351565808877935E-2</v>
      </c>
      <c r="L129" s="507">
        <v>1.2631560690520062E-3</v>
      </c>
      <c r="M129" s="507">
        <v>3.6764024394011482E-4</v>
      </c>
      <c r="N129" s="507">
        <v>1.9663683211282885E-3</v>
      </c>
      <c r="O129" s="506">
        <v>5.019737595799669E-3</v>
      </c>
      <c r="P129" s="506">
        <v>0</v>
      </c>
      <c r="Q129" s="507">
        <v>0</v>
      </c>
      <c r="R129" s="507">
        <v>0</v>
      </c>
      <c r="S129" s="515">
        <v>0</v>
      </c>
      <c r="T129" s="536"/>
      <c r="U129" s="542"/>
    </row>
    <row r="130" spans="1:21">
      <c r="A130" s="479"/>
      <c r="B130" s="4" t="s">
        <v>63</v>
      </c>
      <c r="C130" s="506">
        <v>1.7771303130306013E-3</v>
      </c>
      <c r="D130" s="508">
        <v>0</v>
      </c>
      <c r="E130" s="508">
        <v>0</v>
      </c>
      <c r="F130" s="508">
        <v>0</v>
      </c>
      <c r="G130" s="508">
        <v>0</v>
      </c>
      <c r="H130" s="508">
        <v>0</v>
      </c>
      <c r="I130" s="508">
        <v>0</v>
      </c>
      <c r="J130" s="509">
        <v>1.1065838461233512E-3</v>
      </c>
      <c r="K130" s="506">
        <v>9.7281693297124588E-3</v>
      </c>
      <c r="L130" s="507">
        <v>4.1366046242351809E-4</v>
      </c>
      <c r="M130" s="507">
        <v>1.1747003667941962E-3</v>
      </c>
      <c r="N130" s="507">
        <v>1.1678926313072654E-2</v>
      </c>
      <c r="O130" s="506">
        <v>2.8544000995874065E-3</v>
      </c>
      <c r="P130" s="506">
        <v>0</v>
      </c>
      <c r="Q130" s="507">
        <v>0</v>
      </c>
      <c r="R130" s="507">
        <v>0</v>
      </c>
      <c r="S130" s="515">
        <v>0</v>
      </c>
      <c r="T130" s="543"/>
      <c r="U130" s="550"/>
    </row>
    <row r="131" spans="1:21">
      <c r="A131" s="479"/>
      <c r="B131" s="4" t="s">
        <v>91</v>
      </c>
      <c r="C131" s="616">
        <v>-1.3858043843414568E-2</v>
      </c>
      <c r="D131" s="508">
        <v>0</v>
      </c>
      <c r="E131" s="508">
        <v>0</v>
      </c>
      <c r="F131" s="508">
        <v>0</v>
      </c>
      <c r="G131" s="508">
        <v>0</v>
      </c>
      <c r="H131" s="508">
        <v>0</v>
      </c>
      <c r="I131" s="508">
        <v>0</v>
      </c>
      <c r="J131" s="509">
        <v>-7.800739165712855E-3</v>
      </c>
      <c r="K131" s="506">
        <v>-0.66233964791654765</v>
      </c>
      <c r="L131" s="507">
        <v>-8.4949560662848811E-2</v>
      </c>
      <c r="M131" s="507">
        <v>8.0706012285408135E-2</v>
      </c>
      <c r="N131" s="507">
        <v>0.9712557991944365</v>
      </c>
      <c r="O131" s="506">
        <v>-0.21653374962122626</v>
      </c>
      <c r="P131" s="506">
        <v>0</v>
      </c>
      <c r="Q131" s="507">
        <v>0</v>
      </c>
      <c r="R131" s="507">
        <v>0</v>
      </c>
      <c r="S131" s="515">
        <v>0</v>
      </c>
      <c r="T131" s="510"/>
      <c r="U131" s="528"/>
    </row>
    <row r="132" spans="1:21">
      <c r="A132" s="479"/>
      <c r="B132" s="4" t="s">
        <v>47</v>
      </c>
      <c r="C132" s="506">
        <v>0.73326399294375189</v>
      </c>
      <c r="D132" s="508">
        <v>0.65177113094485606</v>
      </c>
      <c r="E132" s="508">
        <v>0.65007823749889537</v>
      </c>
      <c r="F132" s="508">
        <v>0.58385947365130964</v>
      </c>
      <c r="G132" s="631">
        <v>0</v>
      </c>
      <c r="H132" s="508">
        <v>0</v>
      </c>
      <c r="I132" s="508">
        <v>0</v>
      </c>
      <c r="J132" s="509">
        <v>0.7083222966262257</v>
      </c>
      <c r="K132" s="506">
        <v>0</v>
      </c>
      <c r="L132" s="507">
        <v>0</v>
      </c>
      <c r="M132" s="507">
        <v>0</v>
      </c>
      <c r="N132" s="507">
        <v>0</v>
      </c>
      <c r="O132" s="506">
        <v>0</v>
      </c>
      <c r="P132" s="506">
        <v>0</v>
      </c>
      <c r="Q132" s="507">
        <v>0</v>
      </c>
      <c r="R132" s="507">
        <v>0</v>
      </c>
      <c r="S132" s="515">
        <v>0</v>
      </c>
      <c r="T132" s="536"/>
      <c r="U132" s="542"/>
    </row>
    <row r="133" spans="1:21">
      <c r="A133" s="479"/>
      <c r="B133" s="4" t="s">
        <v>65</v>
      </c>
      <c r="C133" s="506">
        <v>0.73255599150760775</v>
      </c>
      <c r="D133" s="508">
        <v>0.71898697359399999</v>
      </c>
      <c r="E133" s="508">
        <v>0.64817552054079086</v>
      </c>
      <c r="F133" s="508">
        <v>0.56868365180467095</v>
      </c>
      <c r="G133" s="632">
        <v>0</v>
      </c>
      <c r="H133" s="508">
        <v>0</v>
      </c>
      <c r="I133" s="508">
        <v>0</v>
      </c>
      <c r="J133" s="509">
        <v>0.7193684751664523</v>
      </c>
      <c r="K133" s="506">
        <v>0</v>
      </c>
      <c r="L133" s="507">
        <v>0</v>
      </c>
      <c r="M133" s="507">
        <v>0</v>
      </c>
      <c r="N133" s="507">
        <v>0</v>
      </c>
      <c r="O133" s="506">
        <v>0</v>
      </c>
      <c r="P133" s="506">
        <v>0</v>
      </c>
      <c r="Q133" s="507">
        <v>0</v>
      </c>
      <c r="R133" s="507">
        <v>0</v>
      </c>
      <c r="S133" s="515">
        <v>0</v>
      </c>
      <c r="T133" s="543"/>
      <c r="U133" s="550"/>
    </row>
    <row r="134" spans="1:21">
      <c r="A134" s="479"/>
      <c r="B134" s="4" t="s">
        <v>89</v>
      </c>
      <c r="C134" s="616">
        <v>-7.0800143614413447E-2</v>
      </c>
      <c r="D134" s="508">
        <v>6.7215842649143926</v>
      </c>
      <c r="E134" s="508">
        <v>-0.19027169581045111</v>
      </c>
      <c r="F134" s="508">
        <v>-1.5175821846638682</v>
      </c>
      <c r="G134" s="633">
        <v>0</v>
      </c>
      <c r="H134" s="508">
        <v>0</v>
      </c>
      <c r="I134" s="508">
        <v>0</v>
      </c>
      <c r="J134" s="509">
        <v>1.1046178540226603</v>
      </c>
      <c r="K134" s="506">
        <v>0</v>
      </c>
      <c r="L134" s="507">
        <v>0</v>
      </c>
      <c r="M134" s="507">
        <v>0</v>
      </c>
      <c r="N134" s="507">
        <v>0</v>
      </c>
      <c r="O134" s="506">
        <v>0</v>
      </c>
      <c r="P134" s="506">
        <v>0</v>
      </c>
      <c r="Q134" s="507">
        <v>0</v>
      </c>
      <c r="R134" s="507">
        <v>0</v>
      </c>
      <c r="S134" s="515">
        <v>0</v>
      </c>
      <c r="T134" s="510"/>
      <c r="U134" s="528"/>
    </row>
    <row r="135" spans="1:21">
      <c r="A135" s="479"/>
      <c r="B135" s="4" t="s">
        <v>67</v>
      </c>
      <c r="C135" s="506">
        <v>0.1103016971126768</v>
      </c>
      <c r="D135" s="508">
        <v>0.17237490834618593</v>
      </c>
      <c r="E135" s="508">
        <v>0.20530975291506162</v>
      </c>
      <c r="F135" s="508">
        <v>7.6139276114271431E-2</v>
      </c>
      <c r="G135" s="632">
        <v>0</v>
      </c>
      <c r="H135" s="508">
        <v>0</v>
      </c>
      <c r="I135" s="508">
        <v>0</v>
      </c>
      <c r="J135" s="509">
        <v>0.12993658382588805</v>
      </c>
      <c r="K135" s="506">
        <v>0</v>
      </c>
      <c r="L135" s="507">
        <v>0</v>
      </c>
      <c r="M135" s="507">
        <v>0</v>
      </c>
      <c r="N135" s="507">
        <v>0</v>
      </c>
      <c r="O135" s="506">
        <v>0</v>
      </c>
      <c r="P135" s="506">
        <v>0</v>
      </c>
      <c r="Q135" s="507">
        <v>0</v>
      </c>
      <c r="R135" s="507">
        <v>0</v>
      </c>
      <c r="S135" s="515">
        <v>0</v>
      </c>
      <c r="T135" s="536"/>
      <c r="U135" s="542"/>
    </row>
    <row r="136" spans="1:21">
      <c r="A136" s="479"/>
      <c r="B136" s="4" t="s">
        <v>69</v>
      </c>
      <c r="C136" s="506">
        <v>9.0093770164227885E-2</v>
      </c>
      <c r="D136" s="508">
        <v>0.16799804707788835</v>
      </c>
      <c r="E136" s="508">
        <v>0.1991801420955647</v>
      </c>
      <c r="F136" s="508">
        <v>3.4023354564755838E-2</v>
      </c>
      <c r="G136" s="632">
        <v>0</v>
      </c>
      <c r="H136" s="508">
        <v>0</v>
      </c>
      <c r="I136" s="508">
        <v>0</v>
      </c>
      <c r="J136" s="509">
        <v>0.11322085801647834</v>
      </c>
      <c r="K136" s="506">
        <v>0</v>
      </c>
      <c r="L136" s="507">
        <v>0</v>
      </c>
      <c r="M136" s="507">
        <v>0</v>
      </c>
      <c r="N136" s="507">
        <v>0</v>
      </c>
      <c r="O136" s="506">
        <v>0</v>
      </c>
      <c r="P136" s="506">
        <v>0</v>
      </c>
      <c r="Q136" s="507">
        <v>0</v>
      </c>
      <c r="R136" s="507">
        <v>0</v>
      </c>
      <c r="S136" s="515">
        <v>0</v>
      </c>
      <c r="T136" s="543"/>
      <c r="U136" s="550"/>
    </row>
    <row r="137" spans="1:21">
      <c r="A137" s="479"/>
      <c r="B137" s="4" t="s">
        <v>93</v>
      </c>
      <c r="C137" s="616">
        <v>-2.020792694844892</v>
      </c>
      <c r="D137" s="508">
        <v>-0.43768612682975883</v>
      </c>
      <c r="E137" s="508">
        <v>-0.61296108194969223</v>
      </c>
      <c r="F137" s="508">
        <v>-4.2115921549515596</v>
      </c>
      <c r="G137" s="633">
        <v>0</v>
      </c>
      <c r="H137" s="508">
        <v>0</v>
      </c>
      <c r="I137" s="508">
        <v>0</v>
      </c>
      <c r="J137" s="509">
        <v>-1.6715725809409707</v>
      </c>
      <c r="K137" s="506">
        <v>0</v>
      </c>
      <c r="L137" s="507">
        <v>0</v>
      </c>
      <c r="M137" s="507">
        <v>0</v>
      </c>
      <c r="N137" s="507">
        <v>0</v>
      </c>
      <c r="O137" s="506">
        <v>0</v>
      </c>
      <c r="P137" s="506">
        <v>0</v>
      </c>
      <c r="Q137" s="507">
        <v>0</v>
      </c>
      <c r="R137" s="507">
        <v>0</v>
      </c>
      <c r="S137" s="515">
        <v>0</v>
      </c>
      <c r="T137" s="510"/>
      <c r="U137" s="528"/>
    </row>
    <row r="138" spans="1:21">
      <c r="A138" s="479"/>
      <c r="B138" s="4" t="s">
        <v>71</v>
      </c>
      <c r="C138" s="506">
        <v>0.12267138500122209</v>
      </c>
      <c r="D138" s="508">
        <v>0.15858006118682208</v>
      </c>
      <c r="E138" s="508">
        <v>0.14253780612695788</v>
      </c>
      <c r="F138" s="508">
        <v>0.3255610426955054</v>
      </c>
      <c r="G138" s="508">
        <v>0</v>
      </c>
      <c r="H138" s="508">
        <v>0</v>
      </c>
      <c r="I138" s="508">
        <v>0</v>
      </c>
      <c r="J138" s="509">
        <v>0.13420526063958169</v>
      </c>
      <c r="K138" s="506">
        <v>0</v>
      </c>
      <c r="L138" s="507">
        <v>0</v>
      </c>
      <c r="M138" s="507">
        <v>0</v>
      </c>
      <c r="N138" s="507">
        <v>0</v>
      </c>
      <c r="O138" s="506">
        <v>0</v>
      </c>
      <c r="P138" s="506">
        <v>0</v>
      </c>
      <c r="Q138" s="507">
        <v>0</v>
      </c>
      <c r="R138" s="507">
        <v>0</v>
      </c>
      <c r="S138" s="515">
        <v>0</v>
      </c>
      <c r="T138" s="536"/>
      <c r="U138" s="542"/>
    </row>
    <row r="139" spans="1:21">
      <c r="A139" s="479"/>
      <c r="B139" s="4" t="s">
        <v>73</v>
      </c>
      <c r="C139" s="506">
        <v>0.13353662344150033</v>
      </c>
      <c r="D139" s="508">
        <v>9.6181413998711898E-2</v>
      </c>
      <c r="E139" s="508">
        <v>0.15112188488485528</v>
      </c>
      <c r="F139" s="508">
        <v>0.39729299363057324</v>
      </c>
      <c r="G139" s="508">
        <v>0</v>
      </c>
      <c r="H139" s="508">
        <v>0</v>
      </c>
      <c r="I139" s="508">
        <v>0</v>
      </c>
      <c r="J139" s="509">
        <v>0.13313133760070123</v>
      </c>
      <c r="K139" s="506">
        <v>0</v>
      </c>
      <c r="L139" s="507">
        <v>0</v>
      </c>
      <c r="M139" s="507">
        <v>0</v>
      </c>
      <c r="N139" s="507">
        <v>0</v>
      </c>
      <c r="O139" s="506">
        <v>0</v>
      </c>
      <c r="P139" s="506">
        <v>0</v>
      </c>
      <c r="Q139" s="507">
        <v>0</v>
      </c>
      <c r="R139" s="507">
        <v>0</v>
      </c>
      <c r="S139" s="515">
        <v>0</v>
      </c>
      <c r="T139" s="543"/>
      <c r="U139" s="550"/>
    </row>
    <row r="140" spans="1:21">
      <c r="A140" s="479"/>
      <c r="B140" s="4" t="s">
        <v>99</v>
      </c>
      <c r="C140" s="616">
        <v>1.0865238440278244</v>
      </c>
      <c r="D140" s="508">
        <v>-6.2398647188110186</v>
      </c>
      <c r="E140" s="508">
        <v>0.85840787578974065</v>
      </c>
      <c r="F140" s="508">
        <v>7.1731950935067843</v>
      </c>
      <c r="G140" s="508">
        <v>0</v>
      </c>
      <c r="H140" s="508">
        <v>0</v>
      </c>
      <c r="I140" s="508">
        <v>0</v>
      </c>
      <c r="J140" s="509">
        <v>-0.10739230388804588</v>
      </c>
      <c r="K140" s="506">
        <v>0</v>
      </c>
      <c r="L140" s="507">
        <v>0</v>
      </c>
      <c r="M140" s="507">
        <v>0</v>
      </c>
      <c r="N140" s="507">
        <v>0</v>
      </c>
      <c r="O140" s="506">
        <v>0</v>
      </c>
      <c r="P140" s="506">
        <v>0</v>
      </c>
      <c r="Q140" s="507">
        <v>0</v>
      </c>
      <c r="R140" s="507">
        <v>0</v>
      </c>
      <c r="S140" s="515">
        <v>0</v>
      </c>
      <c r="T140" s="510"/>
      <c r="U140" s="528"/>
    </row>
    <row r="141" spans="1:21">
      <c r="A141" s="479"/>
      <c r="B141" s="4" t="s">
        <v>75</v>
      </c>
      <c r="C141" s="506">
        <v>3.4019298413406869E-3</v>
      </c>
      <c r="D141" s="508">
        <v>6.5029961315769512E-3</v>
      </c>
      <c r="E141" s="508">
        <v>1.5751469877263299E-3</v>
      </c>
      <c r="F141" s="508">
        <v>0</v>
      </c>
      <c r="G141" s="508">
        <v>0</v>
      </c>
      <c r="H141" s="508">
        <v>0</v>
      </c>
      <c r="I141" s="508">
        <v>0</v>
      </c>
      <c r="J141" s="509">
        <v>3.7624389374085795E-3</v>
      </c>
      <c r="K141" s="506">
        <v>0</v>
      </c>
      <c r="L141" s="507">
        <v>0</v>
      </c>
      <c r="M141" s="507">
        <v>0</v>
      </c>
      <c r="N141" s="507">
        <v>0</v>
      </c>
      <c r="O141" s="506">
        <v>0</v>
      </c>
      <c r="P141" s="506">
        <v>0</v>
      </c>
      <c r="Q141" s="507">
        <v>0</v>
      </c>
      <c r="R141" s="507">
        <v>0</v>
      </c>
      <c r="S141" s="515">
        <v>0</v>
      </c>
      <c r="T141" s="536"/>
      <c r="U141" s="542"/>
    </row>
    <row r="142" spans="1:21">
      <c r="A142" s="479"/>
      <c r="B142" s="4" t="s">
        <v>77</v>
      </c>
      <c r="C142" s="506">
        <v>3.907957454780093E-3</v>
      </c>
      <c r="D142" s="508">
        <v>7.7026156690835805E-3</v>
      </c>
      <c r="E142" s="508">
        <v>1.463328110680817E-3</v>
      </c>
      <c r="F142" s="508">
        <v>0</v>
      </c>
      <c r="G142" s="508">
        <v>0</v>
      </c>
      <c r="H142" s="508">
        <v>0</v>
      </c>
      <c r="I142" s="508">
        <v>0</v>
      </c>
      <c r="J142" s="509">
        <v>4.2860141224419605E-3</v>
      </c>
      <c r="K142" s="506">
        <v>0</v>
      </c>
      <c r="L142" s="507">
        <v>0</v>
      </c>
      <c r="M142" s="507">
        <v>0</v>
      </c>
      <c r="N142" s="507">
        <v>0</v>
      </c>
      <c r="O142" s="506">
        <v>0</v>
      </c>
      <c r="P142" s="506">
        <v>0</v>
      </c>
      <c r="Q142" s="507">
        <v>0</v>
      </c>
      <c r="R142" s="507">
        <v>0</v>
      </c>
      <c r="S142" s="515">
        <v>0</v>
      </c>
      <c r="T142" s="543"/>
      <c r="U142" s="550"/>
    </row>
    <row r="143" spans="1:21">
      <c r="A143" s="479"/>
      <c r="B143" s="4" t="s">
        <v>101</v>
      </c>
      <c r="C143" s="616">
        <v>5.0602761343940608E-2</v>
      </c>
      <c r="D143" s="508">
        <v>0.11996195375066293</v>
      </c>
      <c r="E143" s="508">
        <v>-1.118188770455129E-2</v>
      </c>
      <c r="F143" s="508">
        <v>0</v>
      </c>
      <c r="G143" s="508">
        <v>0</v>
      </c>
      <c r="H143" s="508">
        <v>0</v>
      </c>
      <c r="I143" s="508">
        <v>0</v>
      </c>
      <c r="J143" s="509">
        <v>5.2357518503338106E-2</v>
      </c>
      <c r="K143" s="506">
        <v>0</v>
      </c>
      <c r="L143" s="507">
        <v>0</v>
      </c>
      <c r="M143" s="507">
        <v>0</v>
      </c>
      <c r="N143" s="507">
        <v>0</v>
      </c>
      <c r="O143" s="506">
        <v>0</v>
      </c>
      <c r="P143" s="506">
        <v>0</v>
      </c>
      <c r="Q143" s="507">
        <v>0</v>
      </c>
      <c r="R143" s="507">
        <v>0</v>
      </c>
      <c r="S143" s="515">
        <v>0</v>
      </c>
      <c r="T143" s="510"/>
      <c r="U143" s="528"/>
    </row>
    <row r="144" spans="1:21">
      <c r="A144" s="479"/>
      <c r="B144" s="4" t="s">
        <v>79</v>
      </c>
      <c r="C144" s="506">
        <v>3.0360995101008491E-2</v>
      </c>
      <c r="D144" s="508">
        <v>1.0770903390559024E-2</v>
      </c>
      <c r="E144" s="508">
        <v>4.9905647135883716E-4</v>
      </c>
      <c r="F144" s="508">
        <v>1.4440207538913546E-2</v>
      </c>
      <c r="G144" s="508">
        <v>0</v>
      </c>
      <c r="H144" s="508">
        <v>0</v>
      </c>
      <c r="I144" s="508">
        <v>0</v>
      </c>
      <c r="J144" s="509">
        <v>2.3773419970896027E-2</v>
      </c>
      <c r="K144" s="506">
        <v>0</v>
      </c>
      <c r="L144" s="507">
        <v>0</v>
      </c>
      <c r="M144" s="507">
        <v>0</v>
      </c>
      <c r="N144" s="507">
        <v>0</v>
      </c>
      <c r="O144" s="506">
        <v>0</v>
      </c>
      <c r="P144" s="506">
        <v>0</v>
      </c>
      <c r="Q144" s="507">
        <v>0</v>
      </c>
      <c r="R144" s="507">
        <v>0</v>
      </c>
      <c r="S144" s="515">
        <v>0</v>
      </c>
      <c r="T144" s="536"/>
      <c r="U144" s="542"/>
    </row>
    <row r="145" spans="1:21">
      <c r="A145" s="479"/>
      <c r="B145" s="4" t="s">
        <v>81</v>
      </c>
      <c r="C145" s="506">
        <v>3.9905657431883935E-2</v>
      </c>
      <c r="D145" s="508">
        <v>9.1309496603162073E-3</v>
      </c>
      <c r="E145" s="508">
        <v>5.9124368108315841E-5</v>
      </c>
      <c r="F145" s="508">
        <v>0</v>
      </c>
      <c r="G145" s="508">
        <v>0</v>
      </c>
      <c r="H145" s="508">
        <v>0</v>
      </c>
      <c r="I145" s="508">
        <v>0</v>
      </c>
      <c r="J145" s="509">
        <v>2.9993315093926165E-2</v>
      </c>
      <c r="K145" s="506">
        <v>0</v>
      </c>
      <c r="L145" s="507">
        <v>0</v>
      </c>
      <c r="M145" s="507">
        <v>0</v>
      </c>
      <c r="N145" s="507">
        <v>0</v>
      </c>
      <c r="O145" s="506">
        <v>0</v>
      </c>
      <c r="P145" s="506">
        <v>0</v>
      </c>
      <c r="Q145" s="507">
        <v>0</v>
      </c>
      <c r="R145" s="507">
        <v>0</v>
      </c>
      <c r="S145" s="515">
        <v>0</v>
      </c>
      <c r="T145" s="543"/>
      <c r="U145" s="550"/>
    </row>
    <row r="146" spans="1:21">
      <c r="A146" s="479"/>
      <c r="B146" s="4" t="s">
        <v>107</v>
      </c>
      <c r="C146" s="616">
        <v>0.95446623308754441</v>
      </c>
      <c r="D146" s="508">
        <v>-0.16399537302428172</v>
      </c>
      <c r="E146" s="508">
        <v>-4.3993210325052136E-2</v>
      </c>
      <c r="F146" s="508">
        <v>-1.4440207538913545</v>
      </c>
      <c r="G146" s="508">
        <v>0</v>
      </c>
      <c r="H146" s="508">
        <v>0</v>
      </c>
      <c r="I146" s="508">
        <v>0</v>
      </c>
      <c r="J146" s="509">
        <v>0.6219895123030138</v>
      </c>
      <c r="K146" s="506">
        <v>0</v>
      </c>
      <c r="L146" s="507">
        <v>0</v>
      </c>
      <c r="M146" s="507">
        <v>0</v>
      </c>
      <c r="N146" s="507">
        <v>0</v>
      </c>
      <c r="O146" s="506">
        <v>0</v>
      </c>
      <c r="P146" s="506">
        <v>0</v>
      </c>
      <c r="Q146" s="507">
        <v>0</v>
      </c>
      <c r="R146" s="507">
        <v>0</v>
      </c>
      <c r="S146" s="515">
        <v>0</v>
      </c>
      <c r="T146" s="551"/>
      <c r="U146" s="554"/>
    </row>
    <row r="147" spans="1:21">
      <c r="A147" s="479"/>
      <c r="B147" s="4" t="s">
        <v>83</v>
      </c>
      <c r="C147" s="613">
        <v>0</v>
      </c>
      <c r="D147" s="508">
        <v>0</v>
      </c>
      <c r="E147" s="508">
        <v>0</v>
      </c>
      <c r="F147" s="508">
        <v>0</v>
      </c>
      <c r="G147" s="508">
        <v>0</v>
      </c>
      <c r="H147" s="508">
        <v>0</v>
      </c>
      <c r="I147" s="508">
        <v>0</v>
      </c>
      <c r="J147" s="678">
        <v>0</v>
      </c>
      <c r="K147" s="506">
        <v>0</v>
      </c>
      <c r="L147" s="507">
        <v>0</v>
      </c>
      <c r="M147" s="507">
        <v>0</v>
      </c>
      <c r="N147" s="507">
        <v>0</v>
      </c>
      <c r="O147" s="506">
        <v>0</v>
      </c>
      <c r="P147" s="506">
        <v>0</v>
      </c>
      <c r="Q147" s="507">
        <v>0</v>
      </c>
      <c r="R147" s="507">
        <v>0</v>
      </c>
      <c r="S147" s="515">
        <v>0</v>
      </c>
      <c r="T147" s="506"/>
      <c r="U147" s="527"/>
    </row>
    <row r="148" spans="1:21">
      <c r="A148" s="479"/>
      <c r="B148" s="4" t="s">
        <v>85</v>
      </c>
      <c r="C148" s="506">
        <v>0</v>
      </c>
      <c r="D148" s="508">
        <v>0</v>
      </c>
      <c r="E148" s="508">
        <v>0</v>
      </c>
      <c r="F148" s="508">
        <v>0</v>
      </c>
      <c r="G148" s="508">
        <v>0</v>
      </c>
      <c r="H148" s="508">
        <v>0</v>
      </c>
      <c r="I148" s="508">
        <v>0</v>
      </c>
      <c r="J148" s="679">
        <v>0</v>
      </c>
      <c r="K148" s="506">
        <v>0</v>
      </c>
      <c r="L148" s="507">
        <v>0</v>
      </c>
      <c r="M148" s="507">
        <v>0</v>
      </c>
      <c r="N148" s="507">
        <v>0</v>
      </c>
      <c r="O148" s="506">
        <v>0</v>
      </c>
      <c r="P148" s="506">
        <v>0</v>
      </c>
      <c r="Q148" s="507">
        <v>0</v>
      </c>
      <c r="R148" s="507">
        <v>0</v>
      </c>
      <c r="S148" s="515">
        <v>0</v>
      </c>
      <c r="T148" s="506"/>
      <c r="U148" s="527"/>
    </row>
    <row r="149" spans="1:21">
      <c r="A149" s="502"/>
      <c r="B149" s="610" t="s">
        <v>109</v>
      </c>
      <c r="C149" s="654">
        <v>0</v>
      </c>
      <c r="D149" s="612">
        <v>0</v>
      </c>
      <c r="E149" s="612">
        <v>0</v>
      </c>
      <c r="F149" s="612">
        <v>0</v>
      </c>
      <c r="G149" s="612">
        <v>0</v>
      </c>
      <c r="H149" s="612">
        <v>0</v>
      </c>
      <c r="I149" s="612">
        <v>0</v>
      </c>
      <c r="J149" s="648">
        <v>0</v>
      </c>
      <c r="K149" s="611">
        <v>0</v>
      </c>
      <c r="L149" s="612">
        <v>0</v>
      </c>
      <c r="M149" s="612">
        <v>0</v>
      </c>
      <c r="N149" s="612">
        <v>0</v>
      </c>
      <c r="O149" s="611">
        <v>0</v>
      </c>
      <c r="P149" s="611">
        <v>0</v>
      </c>
      <c r="Q149" s="612">
        <v>0</v>
      </c>
      <c r="R149" s="612">
        <v>0</v>
      </c>
      <c r="S149" s="721">
        <v>0</v>
      </c>
      <c r="T149" s="510"/>
      <c r="U149" s="528"/>
    </row>
    <row r="150" spans="1:21">
      <c r="A150" s="478" t="s">
        <v>217</v>
      </c>
      <c r="B150" s="3" t="s">
        <v>39</v>
      </c>
      <c r="C150" s="663">
        <v>0.97338843996658986</v>
      </c>
      <c r="D150" s="464">
        <v>0.96263648718929351</v>
      </c>
      <c r="E150" s="464">
        <v>0.94829232440791345</v>
      </c>
      <c r="F150" s="464">
        <v>0.95117076984222548</v>
      </c>
      <c r="G150" s="464">
        <v>0.93789108665507359</v>
      </c>
      <c r="H150" s="637">
        <v>0.77571894103375272</v>
      </c>
      <c r="I150" s="464">
        <v>1</v>
      </c>
      <c r="J150" s="466">
        <v>0.9449459577313597</v>
      </c>
      <c r="K150" s="463">
        <v>0.97604488961141123</v>
      </c>
      <c r="L150" s="464">
        <v>0.63999438420309362</v>
      </c>
      <c r="M150" s="464">
        <v>0.75370559829623707</v>
      </c>
      <c r="N150" s="464">
        <v>0.71439500441363979</v>
      </c>
      <c r="O150" s="463">
        <v>0.72687557572070394</v>
      </c>
      <c r="P150" s="463">
        <v>0.77767502062424587</v>
      </c>
      <c r="Q150" s="464">
        <v>0.86315471380462649</v>
      </c>
      <c r="R150" s="464">
        <v>0</v>
      </c>
      <c r="S150" s="516">
        <v>0.78298201226745978</v>
      </c>
      <c r="T150" s="536"/>
      <c r="U150" s="542"/>
    </row>
    <row r="151" spans="1:21">
      <c r="A151" s="479"/>
      <c r="B151" s="4" t="s">
        <v>41</v>
      </c>
      <c r="C151" s="506">
        <v>0.97822872493065072</v>
      </c>
      <c r="D151" s="508">
        <v>0.96333033153398884</v>
      </c>
      <c r="E151" s="508">
        <v>0.93280814190434247</v>
      </c>
      <c r="F151" s="508">
        <v>0.95810459930191538</v>
      </c>
      <c r="G151" s="508">
        <v>0.92810246453760203</v>
      </c>
      <c r="H151" s="632">
        <v>0.81919247729216305</v>
      </c>
      <c r="I151" s="508">
        <v>1</v>
      </c>
      <c r="J151" s="509">
        <v>0.94720819625548891</v>
      </c>
      <c r="K151" s="506">
        <v>0.98099669048875249</v>
      </c>
      <c r="L151" s="507">
        <v>0.73501948888661062</v>
      </c>
      <c r="M151" s="507">
        <v>0.76815463632068892</v>
      </c>
      <c r="N151" s="507">
        <v>0.67894652632541341</v>
      </c>
      <c r="O151" s="506">
        <v>0.76184192459130984</v>
      </c>
      <c r="P151" s="506">
        <v>0.73586520137799183</v>
      </c>
      <c r="Q151" s="507">
        <v>0.8046559885736555</v>
      </c>
      <c r="R151" s="507">
        <v>0</v>
      </c>
      <c r="S151" s="515">
        <v>0.73997066940633249</v>
      </c>
      <c r="T151" s="543"/>
      <c r="U151" s="550"/>
    </row>
    <row r="152" spans="1:21">
      <c r="A152" s="479"/>
      <c r="B152" s="505" t="s">
        <v>87</v>
      </c>
      <c r="C152" s="510">
        <v>0.48402849640608592</v>
      </c>
      <c r="D152" s="512">
        <v>6.9384434469532685E-2</v>
      </c>
      <c r="E152" s="512">
        <v>-1.5484182503570976</v>
      </c>
      <c r="F152" s="512">
        <v>0.69338294596898997</v>
      </c>
      <c r="G152" s="512">
        <v>-0.97886221174715571</v>
      </c>
      <c r="H152" s="529">
        <v>4.3473536258410324</v>
      </c>
      <c r="I152" s="512">
        <v>0</v>
      </c>
      <c r="J152" s="514">
        <v>0.2262238524129212</v>
      </c>
      <c r="K152" s="510">
        <v>0.49518008773412614</v>
      </c>
      <c r="L152" s="511">
        <v>9.5025104683516997</v>
      </c>
      <c r="M152" s="511">
        <v>1.4449038024451855</v>
      </c>
      <c r="N152" s="511">
        <v>-3.5448478088226376</v>
      </c>
      <c r="O152" s="510">
        <v>3.4966348870605901</v>
      </c>
      <c r="P152" s="510">
        <v>-4.1809819246254047</v>
      </c>
      <c r="Q152" s="511">
        <v>-5.8498725230970994</v>
      </c>
      <c r="R152" s="511">
        <v>0</v>
      </c>
      <c r="S152" s="517">
        <v>-4.3011342861127293</v>
      </c>
      <c r="T152" s="510"/>
      <c r="U152" s="528"/>
    </row>
    <row r="153" spans="1:21">
      <c r="A153" s="479"/>
      <c r="B153" s="4" t="s">
        <v>43</v>
      </c>
      <c r="C153" s="506">
        <v>1.7210745730666357E-2</v>
      </c>
      <c r="D153" s="508">
        <v>2.0337269422502538E-2</v>
      </c>
      <c r="E153" s="508">
        <v>1.7749587644961515E-2</v>
      </c>
      <c r="F153" s="508">
        <v>2.0979490006950034E-2</v>
      </c>
      <c r="G153" s="508">
        <v>1.2725742130133156E-2</v>
      </c>
      <c r="H153" s="508">
        <v>0.1037864397679816</v>
      </c>
      <c r="I153" s="508">
        <v>0</v>
      </c>
      <c r="J153" s="509">
        <v>2.3685416432378596E-2</v>
      </c>
      <c r="K153" s="506">
        <v>1.8427814777911795E-2</v>
      </c>
      <c r="L153" s="507">
        <v>0.23783725750906373</v>
      </c>
      <c r="M153" s="507">
        <v>0.16678855662180719</v>
      </c>
      <c r="N153" s="507">
        <v>0.24439794684016086</v>
      </c>
      <c r="O153" s="506">
        <v>0.18840389621876563</v>
      </c>
      <c r="P153" s="506">
        <v>0</v>
      </c>
      <c r="Q153" s="507">
        <v>0</v>
      </c>
      <c r="R153" s="507">
        <v>0</v>
      </c>
      <c r="S153" s="515">
        <v>0</v>
      </c>
      <c r="T153" s="536"/>
      <c r="U153" s="542"/>
    </row>
    <row r="154" spans="1:21">
      <c r="A154" s="479"/>
      <c r="B154" s="4" t="s">
        <v>45</v>
      </c>
      <c r="C154" s="506">
        <v>1.6436718671437926E-2</v>
      </c>
      <c r="D154" s="508">
        <v>2.3200612158848975E-2</v>
      </c>
      <c r="E154" s="508">
        <v>1.7699033282312978E-2</v>
      </c>
      <c r="F154" s="508">
        <v>2.2928449728784848E-2</v>
      </c>
      <c r="G154" s="508">
        <v>1.4420714795150171E-2</v>
      </c>
      <c r="H154" s="508">
        <v>0.10158963656903147</v>
      </c>
      <c r="I154" s="508">
        <v>0</v>
      </c>
      <c r="J154" s="509">
        <v>2.3780901654793803E-2</v>
      </c>
      <c r="K154" s="506">
        <v>1.439877212336323E-2</v>
      </c>
      <c r="L154" s="507">
        <v>8.9628776411512012E-2</v>
      </c>
      <c r="M154" s="507">
        <v>0.14801800625564115</v>
      </c>
      <c r="N154" s="507">
        <v>0.25957417629512808</v>
      </c>
      <c r="O154" s="506">
        <v>0.13307436532075725</v>
      </c>
      <c r="P154" s="506">
        <v>0</v>
      </c>
      <c r="Q154" s="507">
        <v>0</v>
      </c>
      <c r="R154" s="507">
        <v>0</v>
      </c>
      <c r="S154" s="515">
        <v>0</v>
      </c>
      <c r="T154" s="543"/>
      <c r="U154" s="550"/>
    </row>
    <row r="155" spans="1:21">
      <c r="A155" s="479"/>
      <c r="B155" s="4" t="s">
        <v>95</v>
      </c>
      <c r="C155" s="506">
        <v>-7.7402705922843124E-2</v>
      </c>
      <c r="D155" s="508">
        <v>0.28633427363464364</v>
      </c>
      <c r="E155" s="508">
        <v>-5.0554362648537465E-3</v>
      </c>
      <c r="F155" s="508">
        <v>0.19489597218348143</v>
      </c>
      <c r="G155" s="508">
        <v>0.16949726650170149</v>
      </c>
      <c r="H155" s="508">
        <v>-0.21968031989501313</v>
      </c>
      <c r="I155" s="508">
        <v>0</v>
      </c>
      <c r="J155" s="509">
        <v>9.5485222415207099E-3</v>
      </c>
      <c r="K155" s="506">
        <v>-0.40290426545485647</v>
      </c>
      <c r="L155" s="507">
        <v>-14.820848109755172</v>
      </c>
      <c r="M155" s="507">
        <v>-1.8770550366166039</v>
      </c>
      <c r="N155" s="507">
        <v>1.5176229454967216</v>
      </c>
      <c r="O155" s="506">
        <v>-5.5329530898008379</v>
      </c>
      <c r="P155" s="506">
        <v>0</v>
      </c>
      <c r="Q155" s="507">
        <v>0</v>
      </c>
      <c r="R155" s="507">
        <v>0</v>
      </c>
      <c r="S155" s="515">
        <v>0</v>
      </c>
      <c r="T155" s="510"/>
      <c r="U155" s="528"/>
    </row>
    <row r="156" spans="1:21">
      <c r="A156" s="479"/>
      <c r="B156" s="4" t="s">
        <v>49</v>
      </c>
      <c r="C156" s="506">
        <v>7.5735761735686198E-3</v>
      </c>
      <c r="D156" s="508">
        <v>1.0909711681358077E-2</v>
      </c>
      <c r="E156" s="508">
        <v>3.217165864968461E-2</v>
      </c>
      <c r="F156" s="508">
        <v>2.7849740150824483E-2</v>
      </c>
      <c r="G156" s="508">
        <v>4.6548401038050233E-2</v>
      </c>
      <c r="H156" s="631">
        <v>0.11757569991199067</v>
      </c>
      <c r="I156" s="508">
        <v>0</v>
      </c>
      <c r="J156" s="509">
        <v>2.9442819492396938E-2</v>
      </c>
      <c r="K156" s="506">
        <v>5.5272956106770148E-3</v>
      </c>
      <c r="L156" s="507">
        <v>0.11909825167028665</v>
      </c>
      <c r="M156" s="507">
        <v>7.2261404556849901E-2</v>
      </c>
      <c r="N156" s="507">
        <v>4.1207048746199362E-2</v>
      </c>
      <c r="O156" s="506">
        <v>8.004581887620664E-2</v>
      </c>
      <c r="P156" s="506">
        <v>0.21965799778132386</v>
      </c>
      <c r="Q156" s="507">
        <v>0.13440911769752015</v>
      </c>
      <c r="R156" s="507">
        <v>0</v>
      </c>
      <c r="S156" s="515">
        <v>0.21436533612841654</v>
      </c>
      <c r="T156" s="536"/>
      <c r="U156" s="542"/>
    </row>
    <row r="157" spans="1:21">
      <c r="A157" s="479"/>
      <c r="B157" s="4" t="s">
        <v>51</v>
      </c>
      <c r="C157" s="506">
        <v>3.8782838180217256E-3</v>
      </c>
      <c r="D157" s="508">
        <v>7.9304762450092912E-3</v>
      </c>
      <c r="E157" s="508">
        <v>4.8170607142233868E-2</v>
      </c>
      <c r="F157" s="508">
        <v>1.8808305468627308E-2</v>
      </c>
      <c r="G157" s="508">
        <v>5.0408114747602824E-2</v>
      </c>
      <c r="H157" s="632">
        <v>7.9217886138805496E-2</v>
      </c>
      <c r="I157" s="508">
        <v>0</v>
      </c>
      <c r="J157" s="509">
        <v>2.7025505957648667E-2</v>
      </c>
      <c r="K157" s="506">
        <v>4.6045373878843112E-3</v>
      </c>
      <c r="L157" s="507">
        <v>0.17397675807044946</v>
      </c>
      <c r="M157" s="507">
        <v>7.6940980126134609E-2</v>
      </c>
      <c r="N157" s="507">
        <v>6.1479297379458522E-2</v>
      </c>
      <c r="O157" s="506">
        <v>0.10116956139297308</v>
      </c>
      <c r="P157" s="506">
        <v>0.26076294694941404</v>
      </c>
      <c r="Q157" s="507">
        <v>0.19470133096552714</v>
      </c>
      <c r="R157" s="507">
        <v>0</v>
      </c>
      <c r="S157" s="515">
        <v>0.25682035720188079</v>
      </c>
      <c r="T157" s="543"/>
      <c r="U157" s="550"/>
    </row>
    <row r="158" spans="1:21">
      <c r="A158" s="479"/>
      <c r="B158" s="4" t="s">
        <v>97</v>
      </c>
      <c r="C158" s="506">
        <v>-0.36952923555468942</v>
      </c>
      <c r="D158" s="508">
        <v>-0.29792354363487855</v>
      </c>
      <c r="E158" s="508">
        <v>1.5998948492549256</v>
      </c>
      <c r="F158" s="508">
        <v>-0.90414346821971747</v>
      </c>
      <c r="G158" s="508">
        <v>0.38597137095525913</v>
      </c>
      <c r="H158" s="633">
        <v>-3.8357813773185172</v>
      </c>
      <c r="I158" s="508">
        <v>0</v>
      </c>
      <c r="J158" s="509">
        <v>-0.24173135347482708</v>
      </c>
      <c r="K158" s="506">
        <v>-9.2275822279270364E-2</v>
      </c>
      <c r="L158" s="507">
        <v>5.4878506400162816</v>
      </c>
      <c r="M158" s="507">
        <v>0.4679575569284708</v>
      </c>
      <c r="N158" s="507">
        <v>2.027224863325916</v>
      </c>
      <c r="O158" s="506">
        <v>2.1123742516766435</v>
      </c>
      <c r="P158" s="506">
        <v>4.1104949168090181</v>
      </c>
      <c r="Q158" s="507">
        <v>6.0292213268006991</v>
      </c>
      <c r="R158" s="507">
        <v>0</v>
      </c>
      <c r="S158" s="515">
        <v>4.2455021073464243</v>
      </c>
      <c r="T158" s="510"/>
      <c r="U158" s="528"/>
    </row>
    <row r="159" spans="1:21">
      <c r="A159" s="479"/>
      <c r="B159" s="4" t="s">
        <v>53</v>
      </c>
      <c r="C159" s="613">
        <v>0</v>
      </c>
      <c r="D159" s="508">
        <v>6.1165317068458307E-3</v>
      </c>
      <c r="E159" s="508">
        <v>1.7811188655218085E-3</v>
      </c>
      <c r="F159" s="508">
        <v>0</v>
      </c>
      <c r="G159" s="508">
        <v>1.9028189986952683E-3</v>
      </c>
      <c r="H159" s="508">
        <v>0</v>
      </c>
      <c r="I159" s="508">
        <v>0</v>
      </c>
      <c r="J159" s="509">
        <v>1.1058262049261798E-3</v>
      </c>
      <c r="K159" s="506">
        <v>0</v>
      </c>
      <c r="L159" s="507">
        <v>3.070106617555972E-3</v>
      </c>
      <c r="M159" s="507">
        <v>4.2487987264212554E-3</v>
      </c>
      <c r="N159" s="507">
        <v>0</v>
      </c>
      <c r="O159" s="506">
        <v>3.1552605444119231E-3</v>
      </c>
      <c r="P159" s="506">
        <v>2.6457088736204126E-3</v>
      </c>
      <c r="Q159" s="507">
        <v>2.4361684978533209E-3</v>
      </c>
      <c r="R159" s="507">
        <v>0</v>
      </c>
      <c r="S159" s="515">
        <v>2.6326995964255917E-3</v>
      </c>
      <c r="T159" s="536"/>
      <c r="U159" s="542"/>
    </row>
    <row r="160" spans="1:21">
      <c r="A160" s="479"/>
      <c r="B160" s="4" t="s">
        <v>55</v>
      </c>
      <c r="C160" s="506">
        <v>6.8981332731611717E-6</v>
      </c>
      <c r="D160" s="508">
        <v>5.179405227295205E-3</v>
      </c>
      <c r="E160" s="508">
        <v>1.1980031228153382E-3</v>
      </c>
      <c r="F160" s="508">
        <v>0</v>
      </c>
      <c r="G160" s="508">
        <v>3.1262382122196689E-3</v>
      </c>
      <c r="H160" s="508">
        <v>0</v>
      </c>
      <c r="I160" s="508">
        <v>0</v>
      </c>
      <c r="J160" s="509">
        <v>1.0401677802908151E-3</v>
      </c>
      <c r="K160" s="506">
        <v>0</v>
      </c>
      <c r="L160" s="507">
        <v>1.374976631427865E-3</v>
      </c>
      <c r="M160" s="507">
        <v>4.3886621392425738E-3</v>
      </c>
      <c r="N160" s="507">
        <v>0</v>
      </c>
      <c r="O160" s="506">
        <v>2.6525477807452301E-3</v>
      </c>
      <c r="P160" s="506">
        <v>3.3519462286738053E-3</v>
      </c>
      <c r="Q160" s="507">
        <v>6.4268046081731472E-4</v>
      </c>
      <c r="R160" s="507">
        <v>0</v>
      </c>
      <c r="S160" s="515">
        <v>3.1902559145540418E-3</v>
      </c>
      <c r="T160" s="543"/>
      <c r="U160" s="550"/>
    </row>
    <row r="161" spans="1:21">
      <c r="A161" s="479"/>
      <c r="B161" s="4" t="s">
        <v>103</v>
      </c>
      <c r="C161" s="506">
        <v>0</v>
      </c>
      <c r="D161" s="508">
        <v>-9.3712647955062567E-2</v>
      </c>
      <c r="E161" s="508">
        <v>-5.8311574270647024E-2</v>
      </c>
      <c r="F161" s="508">
        <v>0</v>
      </c>
      <c r="G161" s="508">
        <v>0.12234192135244006</v>
      </c>
      <c r="H161" s="508">
        <v>0</v>
      </c>
      <c r="I161" s="508">
        <v>0</v>
      </c>
      <c r="J161" s="509">
        <v>-6.5658424635364754E-3</v>
      </c>
      <c r="K161" s="506">
        <v>0</v>
      </c>
      <c r="L161" s="507">
        <v>-0.16951299861281069</v>
      </c>
      <c r="M161" s="507">
        <v>1.3986341282131842E-2</v>
      </c>
      <c r="N161" s="507">
        <v>0</v>
      </c>
      <c r="O161" s="506">
        <v>-5.0271276366669303E-2</v>
      </c>
      <c r="P161" s="506">
        <v>7.0623735505339263E-2</v>
      </c>
      <c r="Q161" s="507">
        <v>-0.17934880370360062</v>
      </c>
      <c r="R161" s="507">
        <v>0</v>
      </c>
      <c r="S161" s="515">
        <v>5.5755631812845007E-2</v>
      </c>
      <c r="T161" s="510"/>
      <c r="U161" s="528"/>
    </row>
    <row r="162" spans="1:21">
      <c r="A162" s="479"/>
      <c r="B162" s="4" t="s">
        <v>57</v>
      </c>
      <c r="C162" s="506">
        <v>7.3026706494751849E-5</v>
      </c>
      <c r="D162" s="508">
        <v>0</v>
      </c>
      <c r="E162" s="508">
        <v>5.3104319186696727E-6</v>
      </c>
      <c r="F162" s="508">
        <v>0</v>
      </c>
      <c r="G162" s="508">
        <v>9.2990293370037876E-4</v>
      </c>
      <c r="H162" s="508">
        <v>3.3640629725404113E-4</v>
      </c>
      <c r="I162" s="508">
        <v>0</v>
      </c>
      <c r="J162" s="509">
        <v>1.4640896062781026E-4</v>
      </c>
      <c r="K162" s="506">
        <v>0</v>
      </c>
      <c r="L162" s="507">
        <v>0</v>
      </c>
      <c r="M162" s="507">
        <v>2.7649017929426709E-3</v>
      </c>
      <c r="N162" s="507">
        <v>0</v>
      </c>
      <c r="O162" s="506">
        <v>1.402412755297135E-3</v>
      </c>
      <c r="P162" s="506">
        <v>2.1272720809812682E-5</v>
      </c>
      <c r="Q162" s="507">
        <v>0</v>
      </c>
      <c r="R162" s="507">
        <v>0</v>
      </c>
      <c r="S162" s="515">
        <v>1.9952007698128184E-5</v>
      </c>
      <c r="T162" s="536"/>
      <c r="U162" s="542"/>
    </row>
    <row r="163" spans="1:21">
      <c r="A163" s="479"/>
      <c r="B163" s="4" t="s">
        <v>59</v>
      </c>
      <c r="C163" s="613">
        <v>1.1550540936282095E-3</v>
      </c>
      <c r="D163" s="508">
        <v>3.5917483485765743E-4</v>
      </c>
      <c r="E163" s="508">
        <v>1.5398497722562188E-5</v>
      </c>
      <c r="F163" s="508">
        <v>1.5864550067258272E-4</v>
      </c>
      <c r="G163" s="508">
        <v>3.7463348918297806E-3</v>
      </c>
      <c r="H163" s="508">
        <v>0</v>
      </c>
      <c r="I163" s="508">
        <v>0</v>
      </c>
      <c r="J163" s="509">
        <v>8.1608441784199268E-4</v>
      </c>
      <c r="K163" s="506">
        <v>0</v>
      </c>
      <c r="L163" s="507">
        <v>0</v>
      </c>
      <c r="M163" s="507">
        <v>2.4977151582926981E-3</v>
      </c>
      <c r="N163" s="507">
        <v>0</v>
      </c>
      <c r="O163" s="506">
        <v>1.2616009142146422E-3</v>
      </c>
      <c r="P163" s="506">
        <v>1.9905443920278632E-5</v>
      </c>
      <c r="Q163" s="507">
        <v>0</v>
      </c>
      <c r="R163" s="507">
        <v>0</v>
      </c>
      <c r="S163" s="515">
        <v>1.87174772326437E-5</v>
      </c>
      <c r="T163" s="543"/>
      <c r="U163" s="550"/>
    </row>
    <row r="164" spans="1:21">
      <c r="A164" s="479"/>
      <c r="B164" s="4" t="s">
        <v>105</v>
      </c>
      <c r="C164" s="506">
        <v>0.10820273871334576</v>
      </c>
      <c r="D164" s="508">
        <v>0</v>
      </c>
      <c r="E164" s="508">
        <v>1.0088065803892515E-3</v>
      </c>
      <c r="F164" s="508">
        <v>0</v>
      </c>
      <c r="G164" s="508">
        <v>0.28164319581294017</v>
      </c>
      <c r="H164" s="508">
        <v>-3.364062972540411E-2</v>
      </c>
      <c r="I164" s="508">
        <v>0</v>
      </c>
      <c r="J164" s="509">
        <v>6.6967545721418248E-2</v>
      </c>
      <c r="K164" s="506">
        <v>0</v>
      </c>
      <c r="L164" s="507">
        <v>0</v>
      </c>
      <c r="M164" s="507">
        <v>-2.6718663464997273E-2</v>
      </c>
      <c r="N164" s="507">
        <v>0</v>
      </c>
      <c r="O164" s="506">
        <v>-1.4081184108249274E-2</v>
      </c>
      <c r="P164" s="506">
        <v>-1.3672768895340491E-4</v>
      </c>
      <c r="Q164" s="507">
        <v>0</v>
      </c>
      <c r="R164" s="507">
        <v>0</v>
      </c>
      <c r="S164" s="515">
        <v>-1.2345304654844846E-4</v>
      </c>
      <c r="T164" s="510"/>
      <c r="U164" s="528"/>
    </row>
    <row r="165" spans="1:21">
      <c r="A165" s="479"/>
      <c r="B165" s="4" t="s">
        <v>61</v>
      </c>
      <c r="C165" s="506">
        <v>1.7542114226803832E-3</v>
      </c>
      <c r="D165" s="508">
        <v>0</v>
      </c>
      <c r="E165" s="508">
        <v>0</v>
      </c>
      <c r="F165" s="669">
        <v>0</v>
      </c>
      <c r="G165" s="508">
        <v>2.0482443473576624E-6</v>
      </c>
      <c r="H165" s="508">
        <v>2.5825129890209219E-3</v>
      </c>
      <c r="I165" s="508">
        <v>0</v>
      </c>
      <c r="J165" s="509">
        <v>6.7357117831073996E-4</v>
      </c>
      <c r="K165" s="506">
        <v>0</v>
      </c>
      <c r="L165" s="507">
        <v>0</v>
      </c>
      <c r="M165" s="507">
        <v>2.3074000574197829E-4</v>
      </c>
      <c r="N165" s="507">
        <v>0</v>
      </c>
      <c r="O165" s="506">
        <v>1.1703588461472493E-4</v>
      </c>
      <c r="P165" s="506">
        <v>0</v>
      </c>
      <c r="Q165" s="507">
        <v>0</v>
      </c>
      <c r="R165" s="507">
        <v>0</v>
      </c>
      <c r="S165" s="515">
        <v>0</v>
      </c>
      <c r="T165" s="536"/>
      <c r="U165" s="542"/>
    </row>
    <row r="166" spans="1:21">
      <c r="A166" s="479"/>
      <c r="B166" s="4" t="s">
        <v>63</v>
      </c>
      <c r="C166" s="506">
        <v>2.9432035298820999E-4</v>
      </c>
      <c r="D166" s="508">
        <v>0</v>
      </c>
      <c r="E166" s="508">
        <v>1.0881605057277279E-4</v>
      </c>
      <c r="F166" s="508">
        <v>0</v>
      </c>
      <c r="G166" s="508">
        <v>1.9613281559553055E-4</v>
      </c>
      <c r="H166" s="508">
        <v>0</v>
      </c>
      <c r="I166" s="508">
        <v>0</v>
      </c>
      <c r="J166" s="509">
        <v>1.291439339357694E-4</v>
      </c>
      <c r="K166" s="506">
        <v>0</v>
      </c>
      <c r="L166" s="507">
        <v>0</v>
      </c>
      <c r="M166" s="507">
        <v>0</v>
      </c>
      <c r="N166" s="507">
        <v>0</v>
      </c>
      <c r="O166" s="506">
        <v>0</v>
      </c>
      <c r="P166" s="506">
        <v>0</v>
      </c>
      <c r="Q166" s="507">
        <v>0</v>
      </c>
      <c r="R166" s="507">
        <v>0</v>
      </c>
      <c r="S166" s="515">
        <v>0</v>
      </c>
      <c r="T166" s="543"/>
      <c r="U166" s="550"/>
    </row>
    <row r="167" spans="1:21">
      <c r="A167" s="479"/>
      <c r="B167" s="4" t="s">
        <v>91</v>
      </c>
      <c r="C167" s="506">
        <v>-0.1459891069692173</v>
      </c>
      <c r="D167" s="508">
        <v>0</v>
      </c>
      <c r="E167" s="508">
        <v>0</v>
      </c>
      <c r="F167" s="508">
        <v>0</v>
      </c>
      <c r="G167" s="508">
        <v>1.9408457124817289E-2</v>
      </c>
      <c r="H167" s="508">
        <v>-0.2582512989020922</v>
      </c>
      <c r="I167" s="508">
        <v>0</v>
      </c>
      <c r="J167" s="509">
        <v>-5.4442724437497057E-2</v>
      </c>
      <c r="K167" s="506">
        <v>0</v>
      </c>
      <c r="L167" s="507">
        <v>0</v>
      </c>
      <c r="M167" s="507">
        <v>-2.3074000574197829E-2</v>
      </c>
      <c r="N167" s="507">
        <v>0</v>
      </c>
      <c r="O167" s="506">
        <v>-1.1703588461472493E-2</v>
      </c>
      <c r="P167" s="506">
        <v>0</v>
      </c>
      <c r="Q167" s="507">
        <v>0</v>
      </c>
      <c r="R167" s="507">
        <v>0</v>
      </c>
      <c r="S167" s="515">
        <v>0</v>
      </c>
      <c r="T167" s="510"/>
      <c r="U167" s="528"/>
    </row>
    <row r="168" spans="1:21">
      <c r="A168" s="479"/>
      <c r="B168" s="4" t="s">
        <v>47</v>
      </c>
      <c r="C168" s="506">
        <v>0.90466887773683469</v>
      </c>
      <c r="D168" s="508">
        <v>0.95866065587079341</v>
      </c>
      <c r="E168" s="508">
        <v>0.52604395473920429</v>
      </c>
      <c r="F168" s="508">
        <v>0.73058003250919668</v>
      </c>
      <c r="G168" s="508">
        <v>0.79235276882508054</v>
      </c>
      <c r="H168" s="508">
        <v>0.70952380952380956</v>
      </c>
      <c r="I168" s="508">
        <v>0</v>
      </c>
      <c r="J168" s="509">
        <v>0.85601607954238668</v>
      </c>
      <c r="K168" s="506">
        <v>0</v>
      </c>
      <c r="L168" s="507">
        <v>0</v>
      </c>
      <c r="M168" s="507">
        <v>0</v>
      </c>
      <c r="N168" s="507">
        <v>0</v>
      </c>
      <c r="O168" s="506">
        <v>0</v>
      </c>
      <c r="P168" s="506">
        <v>0</v>
      </c>
      <c r="Q168" s="507">
        <v>0</v>
      </c>
      <c r="R168" s="507">
        <v>0</v>
      </c>
      <c r="S168" s="515">
        <v>0</v>
      </c>
      <c r="T168" s="536"/>
      <c r="U168" s="542"/>
    </row>
    <row r="169" spans="1:21">
      <c r="A169" s="479"/>
      <c r="B169" s="4" t="s">
        <v>65</v>
      </c>
      <c r="C169" s="506">
        <v>0.91771244901897597</v>
      </c>
      <c r="D169" s="508">
        <v>0.9599298094105001</v>
      </c>
      <c r="E169" s="508">
        <v>0.44812151753523433</v>
      </c>
      <c r="F169" s="508">
        <v>0.75281470773866477</v>
      </c>
      <c r="G169" s="508">
        <v>0.76165430895143293</v>
      </c>
      <c r="H169" s="508">
        <v>0.97880184331797238</v>
      </c>
      <c r="I169" s="508">
        <v>0</v>
      </c>
      <c r="J169" s="509">
        <v>0.85148321940240546</v>
      </c>
      <c r="K169" s="506">
        <v>0</v>
      </c>
      <c r="L169" s="507">
        <v>0</v>
      </c>
      <c r="M169" s="507">
        <v>0</v>
      </c>
      <c r="N169" s="507">
        <v>0</v>
      </c>
      <c r="O169" s="506">
        <v>0</v>
      </c>
      <c r="P169" s="506">
        <v>0</v>
      </c>
      <c r="Q169" s="507">
        <v>0</v>
      </c>
      <c r="R169" s="507">
        <v>0</v>
      </c>
      <c r="S169" s="515">
        <v>0</v>
      </c>
      <c r="T169" s="543"/>
      <c r="U169" s="550"/>
    </row>
    <row r="170" spans="1:21">
      <c r="A170" s="479"/>
      <c r="B170" s="4" t="s">
        <v>89</v>
      </c>
      <c r="C170" s="506">
        <v>1.3043571282141286</v>
      </c>
      <c r="D170" s="508">
        <v>0.12691535397066911</v>
      </c>
      <c r="E170" s="508">
        <v>-7.7922437203969963</v>
      </c>
      <c r="F170" s="508">
        <v>2.2234675229468093</v>
      </c>
      <c r="G170" s="508">
        <v>-3.069845987364761</v>
      </c>
      <c r="H170" s="508">
        <v>26.927803379416282</v>
      </c>
      <c r="I170" s="508">
        <v>0</v>
      </c>
      <c r="J170" s="509">
        <v>-0.45328601399812207</v>
      </c>
      <c r="K170" s="506">
        <v>0</v>
      </c>
      <c r="L170" s="507">
        <v>0</v>
      </c>
      <c r="M170" s="507">
        <v>0</v>
      </c>
      <c r="N170" s="507">
        <v>0</v>
      </c>
      <c r="O170" s="506">
        <v>0</v>
      </c>
      <c r="P170" s="506">
        <v>0</v>
      </c>
      <c r="Q170" s="507">
        <v>0</v>
      </c>
      <c r="R170" s="507">
        <v>0</v>
      </c>
      <c r="S170" s="515">
        <v>0</v>
      </c>
      <c r="T170" s="510"/>
      <c r="U170" s="528"/>
    </row>
    <row r="171" spans="1:21">
      <c r="A171" s="479"/>
      <c r="B171" s="4" t="s">
        <v>67</v>
      </c>
      <c r="C171" s="506">
        <v>6.6276960154942749E-2</v>
      </c>
      <c r="D171" s="508">
        <v>1.8638879470489634E-2</v>
      </c>
      <c r="E171" s="631">
        <v>0.13765835935552045</v>
      </c>
      <c r="F171" s="508">
        <v>0.19110916246043289</v>
      </c>
      <c r="G171" s="631">
        <v>0.1397890418986229</v>
      </c>
      <c r="H171" s="508">
        <v>0</v>
      </c>
      <c r="I171" s="508">
        <v>0</v>
      </c>
      <c r="J171" s="509">
        <v>7.8407197509449286E-2</v>
      </c>
      <c r="K171" s="506">
        <v>0</v>
      </c>
      <c r="L171" s="507">
        <v>0</v>
      </c>
      <c r="M171" s="507">
        <v>0</v>
      </c>
      <c r="N171" s="507">
        <v>0</v>
      </c>
      <c r="O171" s="506">
        <v>0</v>
      </c>
      <c r="P171" s="506">
        <v>0</v>
      </c>
      <c r="Q171" s="507">
        <v>0</v>
      </c>
      <c r="R171" s="507">
        <v>0</v>
      </c>
      <c r="S171" s="515">
        <v>0</v>
      </c>
      <c r="T171" s="536"/>
      <c r="U171" s="542"/>
    </row>
    <row r="172" spans="1:21">
      <c r="A172" s="479"/>
      <c r="B172" s="4" t="s">
        <v>69</v>
      </c>
      <c r="C172" s="506">
        <v>6.6675838711136914E-2</v>
      </c>
      <c r="D172" s="508">
        <v>2.3505578957522751E-2</v>
      </c>
      <c r="E172" s="632">
        <v>0.11747173058013766</v>
      </c>
      <c r="F172" s="508">
        <v>0.17751491337011624</v>
      </c>
      <c r="G172" s="632">
        <v>0.18354414141673295</v>
      </c>
      <c r="H172" s="508">
        <v>0</v>
      </c>
      <c r="I172" s="508">
        <v>0</v>
      </c>
      <c r="J172" s="509">
        <v>7.8906965869375414E-2</v>
      </c>
      <c r="K172" s="506">
        <v>0</v>
      </c>
      <c r="L172" s="507">
        <v>0</v>
      </c>
      <c r="M172" s="507">
        <v>0</v>
      </c>
      <c r="N172" s="507">
        <v>0</v>
      </c>
      <c r="O172" s="506">
        <v>0</v>
      </c>
      <c r="P172" s="506">
        <v>0</v>
      </c>
      <c r="Q172" s="507">
        <v>0</v>
      </c>
      <c r="R172" s="507">
        <v>0</v>
      </c>
      <c r="S172" s="515">
        <v>0</v>
      </c>
      <c r="T172" s="543"/>
      <c r="U172" s="550"/>
    </row>
    <row r="173" spans="1:21">
      <c r="A173" s="479"/>
      <c r="B173" s="4" t="s">
        <v>93</v>
      </c>
      <c r="C173" s="506">
        <v>3.9887855619416546E-2</v>
      </c>
      <c r="D173" s="508">
        <v>0.48666994870331171</v>
      </c>
      <c r="E173" s="633">
        <v>-2.0186628775382798</v>
      </c>
      <c r="F173" s="508">
        <v>-1.3594249090316646</v>
      </c>
      <c r="G173" s="633">
        <v>4.3755099518110043</v>
      </c>
      <c r="H173" s="508">
        <v>0</v>
      </c>
      <c r="I173" s="508">
        <v>0</v>
      </c>
      <c r="J173" s="509">
        <v>4.9976835992612823E-2</v>
      </c>
      <c r="K173" s="506">
        <v>0</v>
      </c>
      <c r="L173" s="507">
        <v>0</v>
      </c>
      <c r="M173" s="507">
        <v>0</v>
      </c>
      <c r="N173" s="507">
        <v>0</v>
      </c>
      <c r="O173" s="506">
        <v>0</v>
      </c>
      <c r="P173" s="506">
        <v>0</v>
      </c>
      <c r="Q173" s="507">
        <v>0</v>
      </c>
      <c r="R173" s="507">
        <v>0</v>
      </c>
      <c r="S173" s="515">
        <v>0</v>
      </c>
      <c r="T173" s="510"/>
      <c r="U173" s="528"/>
    </row>
    <row r="174" spans="1:21">
      <c r="A174" s="479"/>
      <c r="B174" s="4" t="s">
        <v>71</v>
      </c>
      <c r="C174" s="506">
        <v>2.7778636919117559E-2</v>
      </c>
      <c r="D174" s="508">
        <v>2.2538096761715559E-2</v>
      </c>
      <c r="E174" s="632">
        <v>0.3247212756610427</v>
      </c>
      <c r="F174" s="508">
        <v>7.8310805030370439E-2</v>
      </c>
      <c r="G174" s="508">
        <v>6.7858189276296513E-2</v>
      </c>
      <c r="H174" s="508">
        <v>0.25396825396825395</v>
      </c>
      <c r="I174" s="508">
        <v>0</v>
      </c>
      <c r="J174" s="509">
        <v>6.3712552553454552E-2</v>
      </c>
      <c r="K174" s="506">
        <v>0</v>
      </c>
      <c r="L174" s="507">
        <v>0</v>
      </c>
      <c r="M174" s="507">
        <v>0</v>
      </c>
      <c r="N174" s="507">
        <v>0</v>
      </c>
      <c r="O174" s="506">
        <v>0</v>
      </c>
      <c r="P174" s="506">
        <v>0</v>
      </c>
      <c r="Q174" s="507">
        <v>0</v>
      </c>
      <c r="R174" s="507">
        <v>0</v>
      </c>
      <c r="S174" s="515">
        <v>0</v>
      </c>
      <c r="T174" s="536"/>
      <c r="U174" s="542"/>
    </row>
    <row r="175" spans="1:21">
      <c r="A175" s="479"/>
      <c r="B175" s="4" t="s">
        <v>73</v>
      </c>
      <c r="C175" s="506">
        <v>1.5454741039020278E-2</v>
      </c>
      <c r="D175" s="508">
        <v>1.2320102162219272E-2</v>
      </c>
      <c r="E175" s="632">
        <v>0.42902941658472632</v>
      </c>
      <c r="F175" s="508">
        <v>6.8347008164179407E-2</v>
      </c>
      <c r="G175" s="508">
        <v>5.4801549631834159E-2</v>
      </c>
      <c r="H175" s="508">
        <v>2.1198156682027649E-2</v>
      </c>
      <c r="I175" s="508">
        <v>0</v>
      </c>
      <c r="J175" s="509">
        <v>6.775488947934151E-2</v>
      </c>
      <c r="K175" s="506">
        <v>0</v>
      </c>
      <c r="L175" s="507">
        <v>0</v>
      </c>
      <c r="M175" s="507">
        <v>0</v>
      </c>
      <c r="N175" s="507">
        <v>0</v>
      </c>
      <c r="O175" s="506">
        <v>0</v>
      </c>
      <c r="P175" s="506">
        <v>0</v>
      </c>
      <c r="Q175" s="507">
        <v>0</v>
      </c>
      <c r="R175" s="507">
        <v>0</v>
      </c>
      <c r="S175" s="515">
        <v>0</v>
      </c>
      <c r="T175" s="543"/>
      <c r="U175" s="550"/>
    </row>
    <row r="176" spans="1:21">
      <c r="A176" s="479"/>
      <c r="B176" s="4" t="s">
        <v>99</v>
      </c>
      <c r="C176" s="506">
        <v>-1.2323895880097282</v>
      </c>
      <c r="D176" s="508">
        <v>-1.0217994599496287</v>
      </c>
      <c r="E176" s="633">
        <v>10.430814092368362</v>
      </c>
      <c r="F176" s="508">
        <v>-0.99637968661910326</v>
      </c>
      <c r="G176" s="508">
        <v>-1.3056639644462353</v>
      </c>
      <c r="H176" s="508">
        <v>-23.27700972862263</v>
      </c>
      <c r="I176" s="508">
        <v>0</v>
      </c>
      <c r="J176" s="509">
        <v>0.40423369258869579</v>
      </c>
      <c r="K176" s="506">
        <v>0</v>
      </c>
      <c r="L176" s="507">
        <v>0</v>
      </c>
      <c r="M176" s="507">
        <v>0</v>
      </c>
      <c r="N176" s="507">
        <v>0</v>
      </c>
      <c r="O176" s="506">
        <v>0</v>
      </c>
      <c r="P176" s="506">
        <v>0</v>
      </c>
      <c r="Q176" s="507">
        <v>0</v>
      </c>
      <c r="R176" s="507">
        <v>0</v>
      </c>
      <c r="S176" s="515">
        <v>0</v>
      </c>
      <c r="T176" s="510"/>
      <c r="U176" s="528"/>
    </row>
    <row r="177" spans="1:21">
      <c r="A177" s="479"/>
      <c r="B177" s="4" t="s">
        <v>75</v>
      </c>
      <c r="C177" s="506">
        <v>1.275525189105001E-3</v>
      </c>
      <c r="D177" s="669">
        <v>1.6236789700144698E-4</v>
      </c>
      <c r="E177" s="508">
        <v>1.0044762119611033E-2</v>
      </c>
      <c r="F177" s="508">
        <v>0</v>
      </c>
      <c r="G177" s="508">
        <v>0</v>
      </c>
      <c r="H177" s="508">
        <v>0</v>
      </c>
      <c r="I177" s="508">
        <v>0</v>
      </c>
      <c r="J177" s="509">
        <v>1.6829978243796538E-3</v>
      </c>
      <c r="K177" s="506">
        <v>0</v>
      </c>
      <c r="L177" s="507">
        <v>0</v>
      </c>
      <c r="M177" s="507">
        <v>0</v>
      </c>
      <c r="N177" s="507">
        <v>0</v>
      </c>
      <c r="O177" s="506">
        <v>0</v>
      </c>
      <c r="P177" s="506">
        <v>0</v>
      </c>
      <c r="Q177" s="507">
        <v>0</v>
      </c>
      <c r="R177" s="507">
        <v>0</v>
      </c>
      <c r="S177" s="515">
        <v>0</v>
      </c>
      <c r="T177" s="536"/>
      <c r="U177" s="542"/>
    </row>
    <row r="178" spans="1:21">
      <c r="A178" s="479"/>
      <c r="B178" s="4" t="s">
        <v>77</v>
      </c>
      <c r="C178" s="506">
        <v>0</v>
      </c>
      <c r="D178" s="508">
        <v>4.0929198458379461E-3</v>
      </c>
      <c r="E178" s="508">
        <v>4.2711406096361849E-3</v>
      </c>
      <c r="F178" s="508">
        <v>0</v>
      </c>
      <c r="G178" s="508">
        <v>0</v>
      </c>
      <c r="H178" s="508">
        <v>0</v>
      </c>
      <c r="I178" s="508">
        <v>0</v>
      </c>
      <c r="J178" s="509">
        <v>1.4731282486532364E-3</v>
      </c>
      <c r="K178" s="506">
        <v>0</v>
      </c>
      <c r="L178" s="507">
        <v>0</v>
      </c>
      <c r="M178" s="507">
        <v>0</v>
      </c>
      <c r="N178" s="507">
        <v>0</v>
      </c>
      <c r="O178" s="506">
        <v>0</v>
      </c>
      <c r="P178" s="506">
        <v>0</v>
      </c>
      <c r="Q178" s="507">
        <v>0</v>
      </c>
      <c r="R178" s="507">
        <v>0</v>
      </c>
      <c r="S178" s="515">
        <v>0</v>
      </c>
      <c r="T178" s="543"/>
      <c r="U178" s="550"/>
    </row>
    <row r="179" spans="1:21">
      <c r="A179" s="479"/>
      <c r="B179" s="4" t="s">
        <v>101</v>
      </c>
      <c r="C179" s="506">
        <v>-0.1275525189105001</v>
      </c>
      <c r="D179" s="508">
        <v>0.39305519488364987</v>
      </c>
      <c r="E179" s="508">
        <v>-0.57736215099748489</v>
      </c>
      <c r="F179" s="508">
        <v>0</v>
      </c>
      <c r="G179" s="508">
        <v>0</v>
      </c>
      <c r="H179" s="508">
        <v>0</v>
      </c>
      <c r="I179" s="508">
        <v>0</v>
      </c>
      <c r="J179" s="509">
        <v>-2.098695757264174E-2</v>
      </c>
      <c r="K179" s="506">
        <v>0</v>
      </c>
      <c r="L179" s="507">
        <v>0</v>
      </c>
      <c r="M179" s="507">
        <v>0</v>
      </c>
      <c r="N179" s="507">
        <v>0</v>
      </c>
      <c r="O179" s="506">
        <v>0</v>
      </c>
      <c r="P179" s="506">
        <v>0</v>
      </c>
      <c r="Q179" s="507">
        <v>0</v>
      </c>
      <c r="R179" s="507">
        <v>0</v>
      </c>
      <c r="S179" s="515">
        <v>0</v>
      </c>
      <c r="T179" s="510"/>
      <c r="U179" s="528"/>
    </row>
    <row r="180" spans="1:21">
      <c r="A180" s="479"/>
      <c r="B180" s="4" t="s">
        <v>79</v>
      </c>
      <c r="C180" s="506">
        <v>0</v>
      </c>
      <c r="D180" s="508">
        <v>0</v>
      </c>
      <c r="E180" s="669">
        <v>6.7677475273975041E-4</v>
      </c>
      <c r="F180" s="508">
        <v>0</v>
      </c>
      <c r="G180" s="508">
        <v>0</v>
      </c>
      <c r="H180" s="508">
        <v>3.650793650793651E-2</v>
      </c>
      <c r="I180" s="508">
        <v>0</v>
      </c>
      <c r="J180" s="509">
        <v>9.5353984384116369E-5</v>
      </c>
      <c r="K180" s="506">
        <v>0</v>
      </c>
      <c r="L180" s="507">
        <v>0</v>
      </c>
      <c r="M180" s="507">
        <v>0</v>
      </c>
      <c r="N180" s="507">
        <v>0</v>
      </c>
      <c r="O180" s="506">
        <v>0</v>
      </c>
      <c r="P180" s="506">
        <v>0</v>
      </c>
      <c r="Q180" s="507">
        <v>0</v>
      </c>
      <c r="R180" s="507">
        <v>0</v>
      </c>
      <c r="S180" s="515">
        <v>0</v>
      </c>
      <c r="T180" s="536"/>
      <c r="U180" s="542"/>
    </row>
    <row r="181" spans="1:21">
      <c r="A181" s="479"/>
      <c r="B181" s="4" t="s">
        <v>81</v>
      </c>
      <c r="C181" s="506">
        <v>1.5697123086682284E-4</v>
      </c>
      <c r="D181" s="508">
        <v>1.5158962391992393E-4</v>
      </c>
      <c r="E181" s="508">
        <v>9.8328416912487715E-4</v>
      </c>
      <c r="F181" s="508">
        <v>1.3233707270395179E-3</v>
      </c>
      <c r="G181" s="508">
        <v>0</v>
      </c>
      <c r="H181" s="508">
        <v>0</v>
      </c>
      <c r="I181" s="508">
        <v>0</v>
      </c>
      <c r="J181" s="509">
        <v>3.6828206216330911E-4</v>
      </c>
      <c r="K181" s="506">
        <v>0</v>
      </c>
      <c r="L181" s="507">
        <v>0</v>
      </c>
      <c r="M181" s="507">
        <v>0</v>
      </c>
      <c r="N181" s="507">
        <v>0</v>
      </c>
      <c r="O181" s="506">
        <v>0</v>
      </c>
      <c r="P181" s="506">
        <v>0</v>
      </c>
      <c r="Q181" s="507">
        <v>0</v>
      </c>
      <c r="R181" s="507">
        <v>0</v>
      </c>
      <c r="S181" s="515">
        <v>0</v>
      </c>
      <c r="T181" s="543"/>
      <c r="U181" s="550"/>
    </row>
    <row r="182" spans="1:21">
      <c r="A182" s="479"/>
      <c r="B182" s="4" t="s">
        <v>107</v>
      </c>
      <c r="C182" s="506">
        <v>0</v>
      </c>
      <c r="D182" s="508">
        <v>0</v>
      </c>
      <c r="E182" s="508">
        <v>3.0650941638512674E-2</v>
      </c>
      <c r="F182" s="508">
        <v>0</v>
      </c>
      <c r="G182" s="508">
        <v>0</v>
      </c>
      <c r="H182" s="508">
        <v>-3.6507936507936511</v>
      </c>
      <c r="I182" s="508">
        <v>0</v>
      </c>
      <c r="J182" s="509">
        <v>2.7292807777919273E-2</v>
      </c>
      <c r="K182" s="506">
        <v>0</v>
      </c>
      <c r="L182" s="507">
        <v>0</v>
      </c>
      <c r="M182" s="507">
        <v>0</v>
      </c>
      <c r="N182" s="507">
        <v>0</v>
      </c>
      <c r="O182" s="506">
        <v>0</v>
      </c>
      <c r="P182" s="506">
        <v>0</v>
      </c>
      <c r="Q182" s="507">
        <v>0</v>
      </c>
      <c r="R182" s="507">
        <v>0</v>
      </c>
      <c r="S182" s="515">
        <v>0</v>
      </c>
      <c r="T182" s="551"/>
      <c r="U182" s="554"/>
    </row>
    <row r="183" spans="1:21">
      <c r="A183" s="479"/>
      <c r="B183" s="4" t="s">
        <v>83</v>
      </c>
      <c r="C183" s="506">
        <v>0</v>
      </c>
      <c r="D183" s="508">
        <v>0</v>
      </c>
      <c r="E183" s="508">
        <v>8.5487337188179004E-4</v>
      </c>
      <c r="F183" s="508">
        <v>0</v>
      </c>
      <c r="G183" s="508">
        <v>0</v>
      </c>
      <c r="H183" s="508">
        <v>0</v>
      </c>
      <c r="I183" s="508">
        <v>0</v>
      </c>
      <c r="J183" s="509">
        <v>8.5818585945704728E-5</v>
      </c>
      <c r="K183" s="506">
        <v>0</v>
      </c>
      <c r="L183" s="507">
        <v>0</v>
      </c>
      <c r="M183" s="507">
        <v>0</v>
      </c>
      <c r="N183" s="507">
        <v>0</v>
      </c>
      <c r="O183" s="506">
        <v>0</v>
      </c>
      <c r="P183" s="506">
        <v>0</v>
      </c>
      <c r="Q183" s="507">
        <v>0</v>
      </c>
      <c r="R183" s="507">
        <v>0</v>
      </c>
      <c r="S183" s="515">
        <v>0</v>
      </c>
      <c r="T183" s="506"/>
      <c r="U183" s="527"/>
    </row>
    <row r="184" spans="1:21">
      <c r="A184" s="479"/>
      <c r="B184" s="4" t="s">
        <v>85</v>
      </c>
      <c r="C184" s="506">
        <v>0</v>
      </c>
      <c r="D184" s="508">
        <v>0</v>
      </c>
      <c r="E184" s="508">
        <v>1.2291052114060964E-4</v>
      </c>
      <c r="F184" s="508">
        <v>0</v>
      </c>
      <c r="G184" s="508">
        <v>0</v>
      </c>
      <c r="H184" s="508">
        <v>0</v>
      </c>
      <c r="I184" s="508">
        <v>0</v>
      </c>
      <c r="J184" s="679">
        <v>1.3514938061038865E-5</v>
      </c>
      <c r="K184" s="506">
        <v>0</v>
      </c>
      <c r="L184" s="507">
        <v>0</v>
      </c>
      <c r="M184" s="507">
        <v>0</v>
      </c>
      <c r="N184" s="507">
        <v>0</v>
      </c>
      <c r="O184" s="506">
        <v>0</v>
      </c>
      <c r="P184" s="506">
        <v>0</v>
      </c>
      <c r="Q184" s="507">
        <v>0</v>
      </c>
      <c r="R184" s="507">
        <v>0</v>
      </c>
      <c r="S184" s="515">
        <v>0</v>
      </c>
      <c r="T184" s="506"/>
      <c r="U184" s="527"/>
    </row>
    <row r="185" spans="1:21" ht="13.5" thickBot="1">
      <c r="A185" s="502"/>
      <c r="B185" s="610" t="s">
        <v>109</v>
      </c>
      <c r="C185" s="611">
        <v>0</v>
      </c>
      <c r="D185" s="612">
        <v>0</v>
      </c>
      <c r="E185" s="612">
        <v>-7.3196285074118031E-2</v>
      </c>
      <c r="F185" s="612">
        <v>0</v>
      </c>
      <c r="G185" s="612">
        <v>0</v>
      </c>
      <c r="H185" s="612">
        <v>0</v>
      </c>
      <c r="I185" s="612">
        <v>0</v>
      </c>
      <c r="J185" s="648">
        <v>-7.2303647884665867E-3</v>
      </c>
      <c r="K185" s="611">
        <v>0</v>
      </c>
      <c r="L185" s="612">
        <v>0</v>
      </c>
      <c r="M185" s="612">
        <v>0</v>
      </c>
      <c r="N185" s="612">
        <v>0</v>
      </c>
      <c r="O185" s="611">
        <v>0</v>
      </c>
      <c r="P185" s="611">
        <v>0</v>
      </c>
      <c r="Q185" s="612">
        <v>0</v>
      </c>
      <c r="R185" s="612">
        <v>0</v>
      </c>
      <c r="S185" s="721">
        <v>0</v>
      </c>
      <c r="T185" s="510"/>
      <c r="U185" s="528"/>
    </row>
    <row r="186" spans="1:21">
      <c r="A186" s="478" t="s">
        <v>131</v>
      </c>
      <c r="B186" s="3" t="s">
        <v>39</v>
      </c>
      <c r="C186" s="463">
        <v>0.95984885192218927</v>
      </c>
      <c r="D186" s="670">
        <v>0</v>
      </c>
      <c r="E186" s="464">
        <v>0.84368623440416357</v>
      </c>
      <c r="F186" s="464">
        <v>0.88027911264810799</v>
      </c>
      <c r="G186" s="464">
        <v>0.87925083830866113</v>
      </c>
      <c r="H186" s="464">
        <v>0</v>
      </c>
      <c r="I186" s="464">
        <v>0</v>
      </c>
      <c r="J186" s="466">
        <v>0.89320847679384408</v>
      </c>
      <c r="K186" s="463">
        <v>0</v>
      </c>
      <c r="L186" s="618">
        <v>0.7808368331000155</v>
      </c>
      <c r="M186" s="464">
        <v>0.7245249645962839</v>
      </c>
      <c r="N186" s="638">
        <v>0.77316862772161066</v>
      </c>
      <c r="O186" s="463">
        <v>0.749629027807585</v>
      </c>
      <c r="P186" s="463">
        <v>0.96687338562807257</v>
      </c>
      <c r="Q186" s="464">
        <v>0</v>
      </c>
      <c r="R186" s="464">
        <v>0</v>
      </c>
      <c r="S186" s="516">
        <v>0.96687338562807257</v>
      </c>
      <c r="T186" s="536"/>
      <c r="U186" s="542"/>
    </row>
    <row r="187" spans="1:21">
      <c r="A187" s="479"/>
      <c r="B187" s="4" t="s">
        <v>41</v>
      </c>
      <c r="C187" s="506">
        <v>0.95217292070146831</v>
      </c>
      <c r="D187" s="671">
        <v>0</v>
      </c>
      <c r="E187" s="508">
        <v>0.82726746984210775</v>
      </c>
      <c r="F187" s="508">
        <v>0.8522422436514081</v>
      </c>
      <c r="G187" s="508">
        <v>0.89264684647103176</v>
      </c>
      <c r="H187" s="508">
        <v>0</v>
      </c>
      <c r="I187" s="508">
        <v>0</v>
      </c>
      <c r="J187" s="509">
        <v>0.87895779640267591</v>
      </c>
      <c r="K187" s="506">
        <v>0</v>
      </c>
      <c r="L187" s="614">
        <v>0.74071897902451356</v>
      </c>
      <c r="M187" s="507">
        <v>0.70117527718997752</v>
      </c>
      <c r="N187" s="632">
        <v>0.73251851851851857</v>
      </c>
      <c r="O187" s="506">
        <v>0.71859695142669988</v>
      </c>
      <c r="P187" s="506">
        <v>0.95998224468194082</v>
      </c>
      <c r="Q187" s="507">
        <v>0</v>
      </c>
      <c r="R187" s="507">
        <v>0</v>
      </c>
      <c r="S187" s="515">
        <v>0.95998224468194082</v>
      </c>
      <c r="T187" s="543"/>
      <c r="U187" s="550"/>
    </row>
    <row r="188" spans="1:21" ht="13.5" thickBot="1">
      <c r="A188" s="479"/>
      <c r="B188" s="505" t="s">
        <v>87</v>
      </c>
      <c r="C188" s="510">
        <v>-0.76759312207209662</v>
      </c>
      <c r="D188" s="732">
        <v>0</v>
      </c>
      <c r="E188" s="512">
        <v>-1.6418764562055821</v>
      </c>
      <c r="F188" s="512">
        <v>-2.8036868996699882</v>
      </c>
      <c r="G188" s="512">
        <v>1.3396008162370632</v>
      </c>
      <c r="H188" s="512">
        <v>0</v>
      </c>
      <c r="I188" s="512">
        <v>0</v>
      </c>
      <c r="J188" s="514">
        <v>-1.4250680391168169</v>
      </c>
      <c r="K188" s="510">
        <v>0</v>
      </c>
      <c r="L188" s="728">
        <v>-4.0117854075501942</v>
      </c>
      <c r="M188" s="511">
        <v>-2.3349687406306385</v>
      </c>
      <c r="N188" s="529">
        <v>-4.0650109203092093</v>
      </c>
      <c r="O188" s="510">
        <v>-3.1032076380885121</v>
      </c>
      <c r="P188" s="510">
        <v>-0.68911409461317463</v>
      </c>
      <c r="Q188" s="511">
        <v>0</v>
      </c>
      <c r="R188" s="511">
        <v>0</v>
      </c>
      <c r="S188" s="517">
        <v>-0.68911409461317463</v>
      </c>
      <c r="T188" s="510"/>
      <c r="U188" s="528"/>
    </row>
    <row r="189" spans="1:21">
      <c r="A189" s="479"/>
      <c r="B189" s="4" t="s">
        <v>43</v>
      </c>
      <c r="C189" s="506">
        <v>1.2779383971690162E-2</v>
      </c>
      <c r="D189" s="508">
        <v>0</v>
      </c>
      <c r="E189" s="508">
        <v>7.8372958645429314E-2</v>
      </c>
      <c r="F189" s="508">
        <v>5.5498072049365035E-2</v>
      </c>
      <c r="G189" s="508">
        <v>0</v>
      </c>
      <c r="H189" s="508">
        <v>0</v>
      </c>
      <c r="I189" s="508">
        <v>0</v>
      </c>
      <c r="J189" s="509">
        <v>4.8506351010865673E-2</v>
      </c>
      <c r="K189" s="506">
        <v>0</v>
      </c>
      <c r="L189" s="507">
        <v>8.144652641310611E-2</v>
      </c>
      <c r="M189" s="507">
        <v>0.10348833241387939</v>
      </c>
      <c r="N189" s="507">
        <v>3.4622683827335153E-2</v>
      </c>
      <c r="O189" s="506">
        <v>8.8128123371248118E-2</v>
      </c>
      <c r="P189" s="506">
        <v>3.2852840699432216E-3</v>
      </c>
      <c r="Q189" s="507">
        <v>0</v>
      </c>
      <c r="R189" s="507">
        <v>0</v>
      </c>
      <c r="S189" s="515">
        <v>3.2852840699432216E-3</v>
      </c>
      <c r="T189" s="536"/>
      <c r="U189" s="542"/>
    </row>
    <row r="190" spans="1:21">
      <c r="A190" s="479"/>
      <c r="B190" s="4" t="s">
        <v>45</v>
      </c>
      <c r="C190" s="506">
        <v>1.3201279909236353E-2</v>
      </c>
      <c r="D190" s="508">
        <v>0</v>
      </c>
      <c r="E190" s="508">
        <v>7.7448921768020984E-2</v>
      </c>
      <c r="F190" s="508">
        <v>5.4834080226492415E-2</v>
      </c>
      <c r="G190" s="508">
        <v>0</v>
      </c>
      <c r="H190" s="508">
        <v>0</v>
      </c>
      <c r="I190" s="508">
        <v>0</v>
      </c>
      <c r="J190" s="509">
        <v>4.7778568035106043E-2</v>
      </c>
      <c r="K190" s="506">
        <v>0</v>
      </c>
      <c r="L190" s="507">
        <v>7.9828995029904815E-2</v>
      </c>
      <c r="M190" s="507">
        <v>8.6105233108421775E-2</v>
      </c>
      <c r="N190" s="507">
        <v>2.8808080808080807E-2</v>
      </c>
      <c r="O190" s="506">
        <v>7.7563074507214724E-2</v>
      </c>
      <c r="P190" s="506">
        <v>6.6240994297811313E-3</v>
      </c>
      <c r="Q190" s="507">
        <v>0</v>
      </c>
      <c r="R190" s="507">
        <v>0</v>
      </c>
      <c r="S190" s="515">
        <v>6.6240994297811313E-3</v>
      </c>
      <c r="T190" s="543"/>
      <c r="U190" s="550"/>
    </row>
    <row r="191" spans="1:21" ht="13.5" thickBot="1">
      <c r="A191" s="479"/>
      <c r="B191" s="4" t="s">
        <v>95</v>
      </c>
      <c r="C191" s="506">
        <v>4.2189593754619024E-2</v>
      </c>
      <c r="D191" s="508">
        <v>0</v>
      </c>
      <c r="E191" s="508">
        <v>-9.2403687740832963E-2</v>
      </c>
      <c r="F191" s="508">
        <v>-6.6399182287261993E-2</v>
      </c>
      <c r="G191" s="508">
        <v>0</v>
      </c>
      <c r="H191" s="508">
        <v>0</v>
      </c>
      <c r="I191" s="508">
        <v>0</v>
      </c>
      <c r="J191" s="509">
        <v>-7.2778297575962908E-2</v>
      </c>
      <c r="K191" s="506">
        <v>0</v>
      </c>
      <c r="L191" s="507">
        <v>-0.16175313832012955</v>
      </c>
      <c r="M191" s="507">
        <v>-1.7383099305457617</v>
      </c>
      <c r="N191" s="507">
        <v>-0.58146030192543463</v>
      </c>
      <c r="O191" s="506">
        <v>-1.0565048864033395</v>
      </c>
      <c r="P191" s="506">
        <v>0.33388153598379094</v>
      </c>
      <c r="Q191" s="507">
        <v>0</v>
      </c>
      <c r="R191" s="507">
        <v>0</v>
      </c>
      <c r="S191" s="515">
        <v>0.33388153598379094</v>
      </c>
      <c r="T191" s="510"/>
      <c r="U191" s="528"/>
    </row>
    <row r="192" spans="1:21">
      <c r="A192" s="479"/>
      <c r="B192" s="4" t="s">
        <v>49</v>
      </c>
      <c r="C192" s="506">
        <v>2.3176268236169445E-2</v>
      </c>
      <c r="D192" s="672">
        <v>0</v>
      </c>
      <c r="E192" s="508">
        <v>5.3926078594900805E-2</v>
      </c>
      <c r="F192" s="508">
        <v>4.9463952565885663E-2</v>
      </c>
      <c r="G192" s="508">
        <v>0.10239633597775415</v>
      </c>
      <c r="H192" s="508">
        <v>0</v>
      </c>
      <c r="I192" s="508">
        <v>0</v>
      </c>
      <c r="J192" s="509">
        <v>4.3328562945344033E-2</v>
      </c>
      <c r="K192" s="506">
        <v>0</v>
      </c>
      <c r="L192" s="618">
        <v>0.13190888995506717</v>
      </c>
      <c r="M192" s="507">
        <v>0.15280613550665703</v>
      </c>
      <c r="N192" s="631">
        <v>0.1773575791035506</v>
      </c>
      <c r="O192" s="506">
        <v>0.14822178618511819</v>
      </c>
      <c r="P192" s="506">
        <v>2.9841330301984263E-2</v>
      </c>
      <c r="Q192" s="507">
        <v>0</v>
      </c>
      <c r="R192" s="507">
        <v>0</v>
      </c>
      <c r="S192" s="515">
        <v>2.9841330301984263E-2</v>
      </c>
      <c r="T192" s="536"/>
      <c r="U192" s="542"/>
    </row>
    <row r="193" spans="1:21">
      <c r="A193" s="479"/>
      <c r="B193" s="4" t="s">
        <v>51</v>
      </c>
      <c r="C193" s="506">
        <v>2.7428525844150665E-2</v>
      </c>
      <c r="D193" s="671">
        <v>0</v>
      </c>
      <c r="E193" s="508">
        <v>7.080797534582603E-2</v>
      </c>
      <c r="F193" s="508">
        <v>7.4411674995894045E-2</v>
      </c>
      <c r="G193" s="508">
        <v>0.10231520849712003</v>
      </c>
      <c r="H193" s="508">
        <v>0</v>
      </c>
      <c r="I193" s="508">
        <v>0</v>
      </c>
      <c r="J193" s="509">
        <v>5.6708653131593005E-2</v>
      </c>
      <c r="K193" s="506">
        <v>0</v>
      </c>
      <c r="L193" s="614">
        <v>0.17527377642995534</v>
      </c>
      <c r="M193" s="507">
        <v>0.19717800439845515</v>
      </c>
      <c r="N193" s="632">
        <v>0.22461279461279463</v>
      </c>
      <c r="O193" s="506">
        <v>0.1924738114304026</v>
      </c>
      <c r="P193" s="506">
        <v>3.3393655888278077E-2</v>
      </c>
      <c r="Q193" s="507">
        <v>0</v>
      </c>
      <c r="R193" s="507">
        <v>0</v>
      </c>
      <c r="S193" s="515">
        <v>3.3393655888278077E-2</v>
      </c>
      <c r="T193" s="543"/>
      <c r="U193" s="550"/>
    </row>
    <row r="194" spans="1:21" ht="13.5" thickBot="1">
      <c r="A194" s="479"/>
      <c r="B194" s="4" t="s">
        <v>97</v>
      </c>
      <c r="C194" s="506">
        <v>0.42522576079812197</v>
      </c>
      <c r="D194" s="673">
        <v>0</v>
      </c>
      <c r="E194" s="508">
        <v>1.6881896750925225</v>
      </c>
      <c r="F194" s="508">
        <v>2.4947722430008383</v>
      </c>
      <c r="G194" s="508">
        <v>-8.1127480634116123E-3</v>
      </c>
      <c r="H194" s="508">
        <v>0</v>
      </c>
      <c r="I194" s="508">
        <v>0</v>
      </c>
      <c r="J194" s="509">
        <v>1.3380090186248972</v>
      </c>
      <c r="K194" s="506">
        <v>0</v>
      </c>
      <c r="L194" s="619">
        <v>4.3364886474888173</v>
      </c>
      <c r="M194" s="507">
        <v>4.4371868891798112</v>
      </c>
      <c r="N194" s="633">
        <v>4.7255215509244026</v>
      </c>
      <c r="O194" s="506">
        <v>4.4252025245284408</v>
      </c>
      <c r="P194" s="506">
        <v>0.35523255862938141</v>
      </c>
      <c r="Q194" s="507">
        <v>0</v>
      </c>
      <c r="R194" s="507">
        <v>0</v>
      </c>
      <c r="S194" s="515">
        <v>0.35523255862938141</v>
      </c>
      <c r="T194" s="510"/>
      <c r="U194" s="528"/>
    </row>
    <row r="195" spans="1:21">
      <c r="A195" s="479"/>
      <c r="B195" s="4" t="s">
        <v>53</v>
      </c>
      <c r="C195" s="506">
        <v>1.010409514383409E-3</v>
      </c>
      <c r="D195" s="508">
        <v>0</v>
      </c>
      <c r="E195" s="508">
        <v>2.0408901542742441E-2</v>
      </c>
      <c r="F195" s="508">
        <v>1.1743781394732313E-2</v>
      </c>
      <c r="G195" s="508">
        <v>1.2758648891796843E-3</v>
      </c>
      <c r="H195" s="508">
        <v>0</v>
      </c>
      <c r="I195" s="508">
        <v>0</v>
      </c>
      <c r="J195" s="509">
        <v>1.1286350498736546E-2</v>
      </c>
      <c r="K195" s="506">
        <v>0</v>
      </c>
      <c r="L195" s="507">
        <v>4.447277849708298E-3</v>
      </c>
      <c r="M195" s="507">
        <v>1.4360543482588197E-2</v>
      </c>
      <c r="N195" s="507">
        <v>1.4395638521790138E-2</v>
      </c>
      <c r="O195" s="506">
        <v>1.0896158444982677E-2</v>
      </c>
      <c r="P195" s="506">
        <v>0</v>
      </c>
      <c r="Q195" s="507">
        <v>0</v>
      </c>
      <c r="R195" s="507">
        <v>0</v>
      </c>
      <c r="S195" s="515">
        <v>0</v>
      </c>
      <c r="T195" s="536"/>
      <c r="U195" s="542"/>
    </row>
    <row r="196" spans="1:21">
      <c r="A196" s="479"/>
      <c r="B196" s="4" t="s">
        <v>55</v>
      </c>
      <c r="C196" s="506">
        <v>0</v>
      </c>
      <c r="D196" s="508">
        <v>0</v>
      </c>
      <c r="E196" s="508">
        <v>2.0782552669575072E-2</v>
      </c>
      <c r="F196" s="508">
        <v>1.5890054198634478E-2</v>
      </c>
      <c r="G196" s="508">
        <v>5.0379450318481555E-3</v>
      </c>
      <c r="H196" s="508">
        <v>0</v>
      </c>
      <c r="I196" s="508">
        <v>0</v>
      </c>
      <c r="J196" s="509">
        <v>1.1910636123464699E-2</v>
      </c>
      <c r="K196" s="506">
        <v>0</v>
      </c>
      <c r="L196" s="507">
        <v>3.5464577541908853E-3</v>
      </c>
      <c r="M196" s="507">
        <v>1.2535735715760577E-2</v>
      </c>
      <c r="N196" s="507">
        <v>1.406060606060606E-2</v>
      </c>
      <c r="O196" s="506">
        <v>9.5304162140499651E-3</v>
      </c>
      <c r="P196" s="506">
        <v>0</v>
      </c>
      <c r="Q196" s="507">
        <v>0</v>
      </c>
      <c r="R196" s="507">
        <v>0</v>
      </c>
      <c r="S196" s="515">
        <v>0</v>
      </c>
      <c r="T196" s="543"/>
      <c r="U196" s="550"/>
    </row>
    <row r="197" spans="1:21">
      <c r="A197" s="479"/>
      <c r="B197" s="4" t="s">
        <v>103</v>
      </c>
      <c r="C197" s="506">
        <v>-0.1010409514383409</v>
      </c>
      <c r="D197" s="508">
        <v>0</v>
      </c>
      <c r="E197" s="508">
        <v>3.7365112683263035E-2</v>
      </c>
      <c r="F197" s="508">
        <v>0.41462728039021646</v>
      </c>
      <c r="G197" s="508">
        <v>0.37620801426684708</v>
      </c>
      <c r="H197" s="508">
        <v>0</v>
      </c>
      <c r="I197" s="508">
        <v>0</v>
      </c>
      <c r="J197" s="509">
        <v>6.2428562472815335E-2</v>
      </c>
      <c r="K197" s="506">
        <v>0</v>
      </c>
      <c r="L197" s="507">
        <v>-9.0082009551741268E-2</v>
      </c>
      <c r="M197" s="507">
        <v>-0.182480776682762</v>
      </c>
      <c r="N197" s="507">
        <v>-3.3503246118407777E-2</v>
      </c>
      <c r="O197" s="506">
        <v>-0.13657422309327119</v>
      </c>
      <c r="P197" s="506">
        <v>0</v>
      </c>
      <c r="Q197" s="507">
        <v>0</v>
      </c>
      <c r="R197" s="507">
        <v>0</v>
      </c>
      <c r="S197" s="515">
        <v>0</v>
      </c>
      <c r="T197" s="510"/>
      <c r="U197" s="528"/>
    </row>
    <row r="198" spans="1:21">
      <c r="A198" s="479"/>
      <c r="B198" s="4" t="s">
        <v>57</v>
      </c>
      <c r="C198" s="506">
        <v>3.1850863555677009E-3</v>
      </c>
      <c r="D198" s="508">
        <v>0</v>
      </c>
      <c r="E198" s="508">
        <v>3.6058268127639229E-3</v>
      </c>
      <c r="F198" s="508">
        <v>3.0150813419090373E-3</v>
      </c>
      <c r="G198" s="508">
        <v>1.7076960824405005E-2</v>
      </c>
      <c r="H198" s="508">
        <v>0</v>
      </c>
      <c r="I198" s="508">
        <v>0</v>
      </c>
      <c r="J198" s="509">
        <v>3.6702587512097017E-3</v>
      </c>
      <c r="K198" s="506">
        <v>0</v>
      </c>
      <c r="L198" s="507">
        <v>1.3604726821028832E-3</v>
      </c>
      <c r="M198" s="507">
        <v>4.8200240005914835E-3</v>
      </c>
      <c r="N198" s="507">
        <v>4.5547082571339845E-4</v>
      </c>
      <c r="O198" s="506">
        <v>3.1249041910660085E-3</v>
      </c>
      <c r="P198" s="506">
        <v>0</v>
      </c>
      <c r="Q198" s="507">
        <v>0</v>
      </c>
      <c r="R198" s="507">
        <v>0</v>
      </c>
      <c r="S198" s="515">
        <v>0</v>
      </c>
      <c r="T198" s="536"/>
      <c r="U198" s="542"/>
    </row>
    <row r="199" spans="1:21">
      <c r="A199" s="479"/>
      <c r="B199" s="4" t="s">
        <v>59</v>
      </c>
      <c r="C199" s="506">
        <v>7.1972735451447207E-3</v>
      </c>
      <c r="D199" s="508">
        <v>0</v>
      </c>
      <c r="E199" s="508">
        <v>3.6930803744701993E-3</v>
      </c>
      <c r="F199" s="508">
        <v>2.6219469275709159E-3</v>
      </c>
      <c r="G199" s="508">
        <v>0</v>
      </c>
      <c r="H199" s="508">
        <v>0</v>
      </c>
      <c r="I199" s="508">
        <v>0</v>
      </c>
      <c r="J199" s="509">
        <v>4.644346307160303E-3</v>
      </c>
      <c r="K199" s="506">
        <v>0</v>
      </c>
      <c r="L199" s="507">
        <v>6.3179176143543091E-4</v>
      </c>
      <c r="M199" s="507">
        <v>3.0057495873849977E-3</v>
      </c>
      <c r="N199" s="507">
        <v>0</v>
      </c>
      <c r="O199" s="506">
        <v>1.8357464216328106E-3</v>
      </c>
      <c r="P199" s="506">
        <v>0</v>
      </c>
      <c r="Q199" s="507">
        <v>0</v>
      </c>
      <c r="R199" s="507">
        <v>0</v>
      </c>
      <c r="S199" s="515">
        <v>0</v>
      </c>
      <c r="T199" s="543"/>
      <c r="U199" s="550"/>
    </row>
    <row r="200" spans="1:21">
      <c r="A200" s="479"/>
      <c r="B200" s="4" t="s">
        <v>105</v>
      </c>
      <c r="C200" s="506">
        <v>0.40121871895770195</v>
      </c>
      <c r="D200" s="508">
        <v>0</v>
      </c>
      <c r="E200" s="508">
        <v>8.7253561706276354E-3</v>
      </c>
      <c r="F200" s="508">
        <v>-3.9313441433812137E-2</v>
      </c>
      <c r="G200" s="508">
        <v>-1.7076960824405005</v>
      </c>
      <c r="H200" s="508">
        <v>0</v>
      </c>
      <c r="I200" s="508">
        <v>0</v>
      </c>
      <c r="J200" s="509">
        <v>9.7408755595060126E-2</v>
      </c>
      <c r="K200" s="506">
        <v>0</v>
      </c>
      <c r="L200" s="507">
        <v>-7.286809206674523E-2</v>
      </c>
      <c r="M200" s="507">
        <v>-0.18142744132064859</v>
      </c>
      <c r="N200" s="507">
        <v>-4.5547082571339846E-2</v>
      </c>
      <c r="O200" s="506">
        <v>-0.12891577694331979</v>
      </c>
      <c r="P200" s="506">
        <v>0</v>
      </c>
      <c r="Q200" s="507">
        <v>0</v>
      </c>
      <c r="R200" s="507">
        <v>0</v>
      </c>
      <c r="S200" s="515">
        <v>0</v>
      </c>
      <c r="T200" s="510"/>
      <c r="U200" s="528"/>
    </row>
    <row r="201" spans="1:21">
      <c r="A201" s="479"/>
      <c r="B201" s="4" t="s">
        <v>61</v>
      </c>
      <c r="C201" s="506">
        <v>0</v>
      </c>
      <c r="D201" s="508">
        <v>0</v>
      </c>
      <c r="E201" s="508">
        <v>0</v>
      </c>
      <c r="F201" s="508">
        <v>0</v>
      </c>
      <c r="G201" s="508">
        <v>0</v>
      </c>
      <c r="H201" s="508">
        <v>0</v>
      </c>
      <c r="I201" s="508">
        <v>0</v>
      </c>
      <c r="J201" s="509">
        <v>0</v>
      </c>
      <c r="K201" s="506">
        <v>0</v>
      </c>
      <c r="L201" s="507">
        <v>0</v>
      </c>
      <c r="M201" s="507">
        <v>0</v>
      </c>
      <c r="N201" s="507">
        <v>0</v>
      </c>
      <c r="O201" s="506">
        <v>0</v>
      </c>
      <c r="P201" s="506">
        <v>0</v>
      </c>
      <c r="Q201" s="507">
        <v>0</v>
      </c>
      <c r="R201" s="507">
        <v>0</v>
      </c>
      <c r="S201" s="515">
        <v>0</v>
      </c>
      <c r="T201" s="536"/>
      <c r="U201" s="542"/>
    </row>
    <row r="202" spans="1:21">
      <c r="A202" s="479"/>
      <c r="B202" s="4" t="s">
        <v>63</v>
      </c>
      <c r="C202" s="506">
        <v>0</v>
      </c>
      <c r="D202" s="508">
        <v>0</v>
      </c>
      <c r="E202" s="508">
        <v>0</v>
      </c>
      <c r="F202" s="508">
        <v>0</v>
      </c>
      <c r="G202" s="508">
        <v>0</v>
      </c>
      <c r="H202" s="508">
        <v>0</v>
      </c>
      <c r="I202" s="508">
        <v>0</v>
      </c>
      <c r="J202" s="509">
        <v>0</v>
      </c>
      <c r="K202" s="506">
        <v>0</v>
      </c>
      <c r="L202" s="507">
        <v>0</v>
      </c>
      <c r="M202" s="507">
        <v>0</v>
      </c>
      <c r="N202" s="507">
        <v>0</v>
      </c>
      <c r="O202" s="506">
        <v>0</v>
      </c>
      <c r="P202" s="506">
        <v>0</v>
      </c>
      <c r="Q202" s="507">
        <v>0</v>
      </c>
      <c r="R202" s="507">
        <v>0</v>
      </c>
      <c r="S202" s="515">
        <v>0</v>
      </c>
      <c r="T202" s="543"/>
      <c r="U202" s="550"/>
    </row>
    <row r="203" spans="1:21">
      <c r="A203" s="479"/>
      <c r="B203" s="4" t="s">
        <v>91</v>
      </c>
      <c r="C203" s="506">
        <v>0</v>
      </c>
      <c r="D203" s="508">
        <v>0</v>
      </c>
      <c r="E203" s="508">
        <v>0</v>
      </c>
      <c r="F203" s="508">
        <v>0</v>
      </c>
      <c r="G203" s="508">
        <v>0</v>
      </c>
      <c r="H203" s="508">
        <v>0</v>
      </c>
      <c r="I203" s="508">
        <v>0</v>
      </c>
      <c r="J203" s="509">
        <v>0</v>
      </c>
      <c r="K203" s="506">
        <v>0</v>
      </c>
      <c r="L203" s="507">
        <v>0</v>
      </c>
      <c r="M203" s="507">
        <v>0</v>
      </c>
      <c r="N203" s="507">
        <v>0</v>
      </c>
      <c r="O203" s="506">
        <v>0</v>
      </c>
      <c r="P203" s="506">
        <v>0</v>
      </c>
      <c r="Q203" s="507">
        <v>0</v>
      </c>
      <c r="R203" s="507">
        <v>0</v>
      </c>
      <c r="S203" s="515">
        <v>0</v>
      </c>
      <c r="T203" s="510"/>
      <c r="U203" s="528"/>
    </row>
    <row r="204" spans="1:21">
      <c r="A204" s="479"/>
      <c r="B204" s="4" t="s">
        <v>47</v>
      </c>
      <c r="C204" s="506">
        <v>0.87545686900958464</v>
      </c>
      <c r="D204" s="634">
        <v>0</v>
      </c>
      <c r="E204" s="508">
        <v>0.57892665965137025</v>
      </c>
      <c r="F204" s="508">
        <v>0.65333444900008364</v>
      </c>
      <c r="G204" s="508">
        <v>0.54553961322520272</v>
      </c>
      <c r="H204" s="508">
        <v>0</v>
      </c>
      <c r="I204" s="508">
        <v>0</v>
      </c>
      <c r="J204" s="509">
        <v>0.73328953051900247</v>
      </c>
      <c r="K204" s="506">
        <v>0</v>
      </c>
      <c r="L204" s="507">
        <v>0</v>
      </c>
      <c r="M204" s="507">
        <v>0</v>
      </c>
      <c r="N204" s="507">
        <v>0</v>
      </c>
      <c r="O204" s="506">
        <v>0</v>
      </c>
      <c r="P204" s="506">
        <v>0</v>
      </c>
      <c r="Q204" s="507">
        <v>0</v>
      </c>
      <c r="R204" s="507">
        <v>0</v>
      </c>
      <c r="S204" s="515">
        <v>0</v>
      </c>
      <c r="T204" s="536"/>
      <c r="U204" s="542"/>
    </row>
    <row r="205" spans="1:21">
      <c r="A205" s="479"/>
      <c r="B205" s="4" t="s">
        <v>65</v>
      </c>
      <c r="C205" s="506">
        <v>0.87055895984322995</v>
      </c>
      <c r="D205" s="635">
        <v>0</v>
      </c>
      <c r="E205" s="508">
        <v>0.55334985348912924</v>
      </c>
      <c r="F205" s="508">
        <v>0.61100029919218113</v>
      </c>
      <c r="G205" s="508">
        <v>0.47561890472618157</v>
      </c>
      <c r="H205" s="508">
        <v>0</v>
      </c>
      <c r="I205" s="508">
        <v>0</v>
      </c>
      <c r="J205" s="509">
        <v>0.71570725283933623</v>
      </c>
      <c r="K205" s="506">
        <v>0</v>
      </c>
      <c r="L205" s="507">
        <v>0</v>
      </c>
      <c r="M205" s="507">
        <v>0</v>
      </c>
      <c r="N205" s="507">
        <v>0</v>
      </c>
      <c r="O205" s="506">
        <v>0</v>
      </c>
      <c r="P205" s="506">
        <v>0</v>
      </c>
      <c r="Q205" s="507">
        <v>0</v>
      </c>
      <c r="R205" s="507">
        <v>0</v>
      </c>
      <c r="S205" s="515">
        <v>0</v>
      </c>
      <c r="T205" s="543"/>
      <c r="U205" s="550"/>
    </row>
    <row r="206" spans="1:21">
      <c r="A206" s="479"/>
      <c r="B206" s="4" t="s">
        <v>89</v>
      </c>
      <c r="C206" s="506">
        <v>-0.48979091663546859</v>
      </c>
      <c r="D206" s="636">
        <v>0</v>
      </c>
      <c r="E206" s="508">
        <v>-2.5576806162241006</v>
      </c>
      <c r="F206" s="508">
        <v>-4.2334149807902506</v>
      </c>
      <c r="G206" s="508">
        <v>-6.9920708499021158</v>
      </c>
      <c r="H206" s="508">
        <v>0</v>
      </c>
      <c r="I206" s="508">
        <v>0</v>
      </c>
      <c r="J206" s="509">
        <v>-1.7582277679666247</v>
      </c>
      <c r="K206" s="506">
        <v>0</v>
      </c>
      <c r="L206" s="507">
        <v>0</v>
      </c>
      <c r="M206" s="507">
        <v>0</v>
      </c>
      <c r="N206" s="507">
        <v>0</v>
      </c>
      <c r="O206" s="506">
        <v>0</v>
      </c>
      <c r="P206" s="506">
        <v>0</v>
      </c>
      <c r="Q206" s="507">
        <v>0</v>
      </c>
      <c r="R206" s="507">
        <v>0</v>
      </c>
      <c r="S206" s="515">
        <v>0</v>
      </c>
      <c r="T206" s="510"/>
      <c r="U206" s="528"/>
    </row>
    <row r="207" spans="1:21">
      <c r="A207" s="479"/>
      <c r="B207" s="4" t="s">
        <v>67</v>
      </c>
      <c r="C207" s="506">
        <v>6.4383386581469651E-2</v>
      </c>
      <c r="D207" s="508">
        <v>0</v>
      </c>
      <c r="E207" s="508">
        <v>0.11812234066889327</v>
      </c>
      <c r="F207" s="508">
        <v>5.0104593757844533E-2</v>
      </c>
      <c r="G207" s="508">
        <v>0</v>
      </c>
      <c r="H207" s="508">
        <v>0</v>
      </c>
      <c r="I207" s="508">
        <v>0</v>
      </c>
      <c r="J207" s="509">
        <v>7.902453565974947E-2</v>
      </c>
      <c r="K207" s="506">
        <v>0</v>
      </c>
      <c r="L207" s="507">
        <v>0</v>
      </c>
      <c r="M207" s="507">
        <v>0</v>
      </c>
      <c r="N207" s="507">
        <v>0</v>
      </c>
      <c r="O207" s="506">
        <v>0</v>
      </c>
      <c r="P207" s="506">
        <v>0</v>
      </c>
      <c r="Q207" s="507">
        <v>0</v>
      </c>
      <c r="R207" s="507">
        <v>0</v>
      </c>
      <c r="S207" s="515">
        <v>0</v>
      </c>
      <c r="T207" s="536"/>
      <c r="U207" s="542"/>
    </row>
    <row r="208" spans="1:21">
      <c r="A208" s="479"/>
      <c r="B208" s="4" t="s">
        <v>69</v>
      </c>
      <c r="C208" s="506">
        <v>5.3308034464524555E-2</v>
      </c>
      <c r="D208" s="508">
        <v>0</v>
      </c>
      <c r="E208" s="508">
        <v>9.6959447237998764E-2</v>
      </c>
      <c r="F208" s="508">
        <v>4.4596256773378543E-2</v>
      </c>
      <c r="G208" s="508">
        <v>0</v>
      </c>
      <c r="H208" s="508">
        <v>0</v>
      </c>
      <c r="I208" s="508">
        <v>0</v>
      </c>
      <c r="J208" s="509">
        <v>6.5758877134178273E-2</v>
      </c>
      <c r="K208" s="506">
        <v>0</v>
      </c>
      <c r="L208" s="507">
        <v>0</v>
      </c>
      <c r="M208" s="507">
        <v>0</v>
      </c>
      <c r="N208" s="507">
        <v>0</v>
      </c>
      <c r="O208" s="506">
        <v>0</v>
      </c>
      <c r="P208" s="506">
        <v>0</v>
      </c>
      <c r="Q208" s="507">
        <v>0</v>
      </c>
      <c r="R208" s="507">
        <v>0</v>
      </c>
      <c r="S208" s="515">
        <v>0</v>
      </c>
      <c r="T208" s="543"/>
      <c r="U208" s="550"/>
    </row>
    <row r="209" spans="1:21">
      <c r="A209" s="479"/>
      <c r="B209" s="4" t="s">
        <v>93</v>
      </c>
      <c r="C209" s="506">
        <v>-1.1075352116945096</v>
      </c>
      <c r="D209" s="508">
        <v>0</v>
      </c>
      <c r="E209" s="508">
        <v>-2.1162893430894503</v>
      </c>
      <c r="F209" s="508">
        <v>-0.55083369844659902</v>
      </c>
      <c r="G209" s="508">
        <v>0</v>
      </c>
      <c r="H209" s="508">
        <v>0</v>
      </c>
      <c r="I209" s="508">
        <v>0</v>
      </c>
      <c r="J209" s="509">
        <v>-1.3265658525571198</v>
      </c>
      <c r="K209" s="506">
        <v>0</v>
      </c>
      <c r="L209" s="507">
        <v>0</v>
      </c>
      <c r="M209" s="507">
        <v>0</v>
      </c>
      <c r="N209" s="507">
        <v>0</v>
      </c>
      <c r="O209" s="506">
        <v>0</v>
      </c>
      <c r="P209" s="506">
        <v>0</v>
      </c>
      <c r="Q209" s="507">
        <v>0</v>
      </c>
      <c r="R209" s="507">
        <v>0</v>
      </c>
      <c r="S209" s="515">
        <v>0</v>
      </c>
      <c r="T209" s="510"/>
      <c r="U209" s="528"/>
    </row>
    <row r="210" spans="1:21">
      <c r="A210" s="479"/>
      <c r="B210" s="4" t="s">
        <v>71</v>
      </c>
      <c r="C210" s="506">
        <v>5.4894568690095846E-2</v>
      </c>
      <c r="D210" s="634">
        <v>0</v>
      </c>
      <c r="E210" s="634">
        <v>0.25868142929038751</v>
      </c>
      <c r="F210" s="634">
        <v>0.27221153041586477</v>
      </c>
      <c r="G210" s="508">
        <v>0.45446038677479728</v>
      </c>
      <c r="H210" s="508">
        <v>0</v>
      </c>
      <c r="I210" s="508">
        <v>0</v>
      </c>
      <c r="J210" s="509">
        <v>0.16603700121066112</v>
      </c>
      <c r="K210" s="506">
        <v>0</v>
      </c>
      <c r="L210" s="507">
        <v>0</v>
      </c>
      <c r="M210" s="507">
        <v>0</v>
      </c>
      <c r="N210" s="507">
        <v>0</v>
      </c>
      <c r="O210" s="506">
        <v>0</v>
      </c>
      <c r="P210" s="506">
        <v>0</v>
      </c>
      <c r="Q210" s="507">
        <v>0</v>
      </c>
      <c r="R210" s="507">
        <v>0</v>
      </c>
      <c r="S210" s="515">
        <v>0</v>
      </c>
      <c r="T210" s="536"/>
      <c r="U210" s="542"/>
    </row>
    <row r="211" spans="1:21">
      <c r="A211" s="479"/>
      <c r="B211" s="4" t="s">
        <v>73</v>
      </c>
      <c r="C211" s="506">
        <v>6.8468692649849144E-2</v>
      </c>
      <c r="D211" s="635">
        <v>0</v>
      </c>
      <c r="E211" s="635">
        <v>0.30987049162536628</v>
      </c>
      <c r="F211" s="635">
        <v>0.32719989362055785</v>
      </c>
      <c r="G211" s="508">
        <v>0.52438109527381849</v>
      </c>
      <c r="H211" s="508">
        <v>0</v>
      </c>
      <c r="I211" s="508">
        <v>0</v>
      </c>
      <c r="J211" s="509">
        <v>0.19857247602088912</v>
      </c>
      <c r="K211" s="506">
        <v>0</v>
      </c>
      <c r="L211" s="507">
        <v>0</v>
      </c>
      <c r="M211" s="507">
        <v>0</v>
      </c>
      <c r="N211" s="507">
        <v>0</v>
      </c>
      <c r="O211" s="506">
        <v>0</v>
      </c>
      <c r="P211" s="506">
        <v>0</v>
      </c>
      <c r="Q211" s="507">
        <v>0</v>
      </c>
      <c r="R211" s="507">
        <v>0</v>
      </c>
      <c r="S211" s="515">
        <v>0</v>
      </c>
      <c r="T211" s="543"/>
      <c r="U211" s="550"/>
    </row>
    <row r="212" spans="1:21">
      <c r="A212" s="479"/>
      <c r="B212" s="4" t="s">
        <v>99</v>
      </c>
      <c r="C212" s="506">
        <v>1.3574123959753299</v>
      </c>
      <c r="D212" s="636">
        <v>0</v>
      </c>
      <c r="E212" s="636">
        <v>5.1189062334978779</v>
      </c>
      <c r="F212" s="636">
        <v>5.4988363204693078</v>
      </c>
      <c r="G212" s="508">
        <v>6.9920708499021211</v>
      </c>
      <c r="H212" s="508">
        <v>0</v>
      </c>
      <c r="I212" s="508">
        <v>0</v>
      </c>
      <c r="J212" s="509">
        <v>3.2535474810228004</v>
      </c>
      <c r="K212" s="506">
        <v>0</v>
      </c>
      <c r="L212" s="507">
        <v>0</v>
      </c>
      <c r="M212" s="507">
        <v>0</v>
      </c>
      <c r="N212" s="507">
        <v>0</v>
      </c>
      <c r="O212" s="506">
        <v>0</v>
      </c>
      <c r="P212" s="506">
        <v>0</v>
      </c>
      <c r="Q212" s="507">
        <v>0</v>
      </c>
      <c r="R212" s="507">
        <v>0</v>
      </c>
      <c r="S212" s="515">
        <v>0</v>
      </c>
      <c r="T212" s="510"/>
      <c r="U212" s="528"/>
    </row>
    <row r="213" spans="1:21">
      <c r="A213" s="479"/>
      <c r="B213" s="4" t="s">
        <v>75</v>
      </c>
      <c r="C213" s="506">
        <v>2.9712460063897762E-3</v>
      </c>
      <c r="D213" s="669">
        <v>0</v>
      </c>
      <c r="E213" s="508">
        <v>4.3656494486892072E-2</v>
      </c>
      <c r="F213" s="508">
        <v>2.4349426826207013E-2</v>
      </c>
      <c r="G213" s="508">
        <v>0</v>
      </c>
      <c r="H213" s="508">
        <v>0</v>
      </c>
      <c r="I213" s="508">
        <v>0</v>
      </c>
      <c r="J213" s="509">
        <v>2.0353099353300118E-2</v>
      </c>
      <c r="K213" s="506">
        <v>0</v>
      </c>
      <c r="L213" s="507">
        <v>0</v>
      </c>
      <c r="M213" s="507">
        <v>0</v>
      </c>
      <c r="N213" s="507">
        <v>0</v>
      </c>
      <c r="O213" s="506">
        <v>0</v>
      </c>
      <c r="P213" s="506">
        <v>0</v>
      </c>
      <c r="Q213" s="507">
        <v>0</v>
      </c>
      <c r="R213" s="507">
        <v>0</v>
      </c>
      <c r="S213" s="515">
        <v>0</v>
      </c>
      <c r="T213" s="536"/>
      <c r="U213" s="542"/>
    </row>
    <row r="214" spans="1:21">
      <c r="A214" s="479"/>
      <c r="B214" s="4" t="s">
        <v>77</v>
      </c>
      <c r="C214" s="506">
        <v>0</v>
      </c>
      <c r="D214" s="508">
        <v>0</v>
      </c>
      <c r="E214" s="508">
        <v>3.9141916579242486E-2</v>
      </c>
      <c r="F214" s="508">
        <v>1.7203550413882517E-2</v>
      </c>
      <c r="G214" s="508">
        <v>0</v>
      </c>
      <c r="H214" s="508">
        <v>0</v>
      </c>
      <c r="I214" s="508">
        <v>0</v>
      </c>
      <c r="J214" s="509">
        <v>1.6049918448577713E-2</v>
      </c>
      <c r="K214" s="506">
        <v>0</v>
      </c>
      <c r="L214" s="507">
        <v>0</v>
      </c>
      <c r="M214" s="507">
        <v>0</v>
      </c>
      <c r="N214" s="507">
        <v>0</v>
      </c>
      <c r="O214" s="506">
        <v>0</v>
      </c>
      <c r="P214" s="506">
        <v>0</v>
      </c>
      <c r="Q214" s="507">
        <v>0</v>
      </c>
      <c r="R214" s="507">
        <v>0</v>
      </c>
      <c r="S214" s="515">
        <v>0</v>
      </c>
      <c r="T214" s="543"/>
      <c r="U214" s="550"/>
    </row>
    <row r="215" spans="1:21">
      <c r="A215" s="479"/>
      <c r="B215" s="4" t="s">
        <v>101</v>
      </c>
      <c r="C215" s="506">
        <v>-0.29712460063897761</v>
      </c>
      <c r="D215" s="508">
        <v>0</v>
      </c>
      <c r="E215" s="508">
        <v>-0.45145779076495862</v>
      </c>
      <c r="F215" s="508">
        <v>-0.71458764123244967</v>
      </c>
      <c r="G215" s="508">
        <v>0</v>
      </c>
      <c r="H215" s="508">
        <v>0</v>
      </c>
      <c r="I215" s="508">
        <v>0</v>
      </c>
      <c r="J215" s="509">
        <v>-0.43031809047224046</v>
      </c>
      <c r="K215" s="506">
        <v>0</v>
      </c>
      <c r="L215" s="507">
        <v>0</v>
      </c>
      <c r="M215" s="507">
        <v>0</v>
      </c>
      <c r="N215" s="507">
        <v>0</v>
      </c>
      <c r="O215" s="506">
        <v>0</v>
      </c>
      <c r="P215" s="506">
        <v>0</v>
      </c>
      <c r="Q215" s="507">
        <v>0</v>
      </c>
      <c r="R215" s="507">
        <v>0</v>
      </c>
      <c r="S215" s="515">
        <v>0</v>
      </c>
      <c r="T215" s="510"/>
      <c r="U215" s="528"/>
    </row>
    <row r="216" spans="1:21">
      <c r="A216" s="479"/>
      <c r="B216" s="4" t="s">
        <v>79</v>
      </c>
      <c r="C216" s="617">
        <v>2.2939297124600637E-3</v>
      </c>
      <c r="D216" s="669">
        <v>0</v>
      </c>
      <c r="E216" s="508">
        <v>6.1307590245687879E-4</v>
      </c>
      <c r="F216" s="669">
        <v>0</v>
      </c>
      <c r="G216" s="508">
        <v>0</v>
      </c>
      <c r="H216" s="508">
        <v>0</v>
      </c>
      <c r="I216" s="508">
        <v>0</v>
      </c>
      <c r="J216" s="509">
        <v>1.2958332572867808E-3</v>
      </c>
      <c r="K216" s="506">
        <v>0</v>
      </c>
      <c r="L216" s="507">
        <v>0</v>
      </c>
      <c r="M216" s="507">
        <v>0</v>
      </c>
      <c r="N216" s="507">
        <v>0</v>
      </c>
      <c r="O216" s="506">
        <v>0</v>
      </c>
      <c r="P216" s="506">
        <v>0</v>
      </c>
      <c r="Q216" s="507">
        <v>0</v>
      </c>
      <c r="R216" s="507">
        <v>0</v>
      </c>
      <c r="S216" s="515">
        <v>0</v>
      </c>
      <c r="T216" s="536"/>
      <c r="U216" s="542"/>
    </row>
    <row r="217" spans="1:21">
      <c r="A217" s="479"/>
      <c r="B217" s="4" t="s">
        <v>81</v>
      </c>
      <c r="C217" s="617">
        <v>7.6643130423963424E-3</v>
      </c>
      <c r="D217" s="669">
        <v>0</v>
      </c>
      <c r="E217" s="508">
        <v>6.7829106826321314E-4</v>
      </c>
      <c r="F217" s="669">
        <v>0</v>
      </c>
      <c r="G217" s="508">
        <v>0</v>
      </c>
      <c r="H217" s="508">
        <v>0</v>
      </c>
      <c r="I217" s="508">
        <v>0</v>
      </c>
      <c r="J217" s="509">
        <v>3.9114755570186597E-3</v>
      </c>
      <c r="K217" s="506">
        <v>0</v>
      </c>
      <c r="L217" s="507">
        <v>0</v>
      </c>
      <c r="M217" s="507">
        <v>0</v>
      </c>
      <c r="N217" s="507">
        <v>0</v>
      </c>
      <c r="O217" s="506">
        <v>0</v>
      </c>
      <c r="P217" s="506">
        <v>0</v>
      </c>
      <c r="Q217" s="507">
        <v>0</v>
      </c>
      <c r="R217" s="507">
        <v>0</v>
      </c>
      <c r="S217" s="515">
        <v>0</v>
      </c>
      <c r="T217" s="543"/>
      <c r="U217" s="550"/>
    </row>
    <row r="218" spans="1:21">
      <c r="A218" s="479"/>
      <c r="B218" s="4" t="s">
        <v>107</v>
      </c>
      <c r="C218" s="506">
        <v>0.53703833299362791</v>
      </c>
      <c r="D218" s="508">
        <v>0</v>
      </c>
      <c r="E218" s="508">
        <v>6.5215165806334352E-3</v>
      </c>
      <c r="F218" s="508">
        <v>0</v>
      </c>
      <c r="G218" s="508">
        <v>0</v>
      </c>
      <c r="H218" s="508">
        <v>0</v>
      </c>
      <c r="I218" s="508">
        <v>0</v>
      </c>
      <c r="J218" s="509">
        <v>0.26156422997318785</v>
      </c>
      <c r="K218" s="506">
        <v>0</v>
      </c>
      <c r="L218" s="507">
        <v>0</v>
      </c>
      <c r="M218" s="507">
        <v>0</v>
      </c>
      <c r="N218" s="507">
        <v>0</v>
      </c>
      <c r="O218" s="506">
        <v>0</v>
      </c>
      <c r="P218" s="506">
        <v>0</v>
      </c>
      <c r="Q218" s="507">
        <v>0</v>
      </c>
      <c r="R218" s="507">
        <v>0</v>
      </c>
      <c r="S218" s="515">
        <v>0</v>
      </c>
      <c r="T218" s="551"/>
      <c r="U218" s="554"/>
    </row>
    <row r="219" spans="1:21">
      <c r="A219" s="479"/>
      <c r="B219" s="4" t="s">
        <v>83</v>
      </c>
      <c r="C219" s="506">
        <v>0</v>
      </c>
      <c r="D219" s="508">
        <v>0</v>
      </c>
      <c r="E219" s="508">
        <v>0</v>
      </c>
      <c r="F219" s="508">
        <v>0</v>
      </c>
      <c r="G219" s="508">
        <v>0</v>
      </c>
      <c r="H219" s="508">
        <v>0</v>
      </c>
      <c r="I219" s="508">
        <v>0</v>
      </c>
      <c r="J219" s="509">
        <v>0</v>
      </c>
      <c r="K219" s="506">
        <v>0</v>
      </c>
      <c r="L219" s="507">
        <v>0</v>
      </c>
      <c r="M219" s="507">
        <v>0</v>
      </c>
      <c r="N219" s="507">
        <v>0</v>
      </c>
      <c r="O219" s="506">
        <v>0</v>
      </c>
      <c r="P219" s="506">
        <v>0</v>
      </c>
      <c r="Q219" s="507">
        <v>0</v>
      </c>
      <c r="R219" s="507">
        <v>0</v>
      </c>
      <c r="S219" s="515">
        <v>0</v>
      </c>
      <c r="T219" s="506"/>
      <c r="U219" s="527"/>
    </row>
    <row r="220" spans="1:21">
      <c r="A220" s="479"/>
      <c r="B220" s="4" t="s">
        <v>85</v>
      </c>
      <c r="C220" s="506">
        <v>0</v>
      </c>
      <c r="D220" s="508">
        <v>0</v>
      </c>
      <c r="E220" s="508">
        <v>0</v>
      </c>
      <c r="F220" s="508">
        <v>0</v>
      </c>
      <c r="G220" s="508">
        <v>0</v>
      </c>
      <c r="H220" s="508">
        <v>0</v>
      </c>
      <c r="I220" s="508">
        <v>0</v>
      </c>
      <c r="J220" s="509">
        <v>0</v>
      </c>
      <c r="K220" s="506">
        <v>0</v>
      </c>
      <c r="L220" s="507">
        <v>0</v>
      </c>
      <c r="M220" s="507">
        <v>0</v>
      </c>
      <c r="N220" s="507">
        <v>0</v>
      </c>
      <c r="O220" s="506">
        <v>0</v>
      </c>
      <c r="P220" s="506">
        <v>0</v>
      </c>
      <c r="Q220" s="507">
        <v>0</v>
      </c>
      <c r="R220" s="507">
        <v>0</v>
      </c>
      <c r="S220" s="515">
        <v>0</v>
      </c>
      <c r="T220" s="506"/>
      <c r="U220" s="527"/>
    </row>
    <row r="221" spans="1:21">
      <c r="A221" s="502"/>
      <c r="B221" s="610" t="s">
        <v>109</v>
      </c>
      <c r="C221" s="611">
        <v>0</v>
      </c>
      <c r="D221" s="612">
        <v>0</v>
      </c>
      <c r="E221" s="612">
        <v>0</v>
      </c>
      <c r="F221" s="612">
        <v>0</v>
      </c>
      <c r="G221" s="612">
        <v>0</v>
      </c>
      <c r="H221" s="612">
        <v>0</v>
      </c>
      <c r="I221" s="612">
        <v>0</v>
      </c>
      <c r="J221" s="648">
        <v>0</v>
      </c>
      <c r="K221" s="611">
        <v>0</v>
      </c>
      <c r="L221" s="612">
        <v>0</v>
      </c>
      <c r="M221" s="612">
        <v>0</v>
      </c>
      <c r="N221" s="612">
        <v>0</v>
      </c>
      <c r="O221" s="611">
        <v>0</v>
      </c>
      <c r="P221" s="611">
        <v>0</v>
      </c>
      <c r="Q221" s="612">
        <v>0</v>
      </c>
      <c r="R221" s="612">
        <v>0</v>
      </c>
      <c r="S221" s="721">
        <v>0</v>
      </c>
      <c r="T221" s="510"/>
      <c r="U221" s="528"/>
    </row>
    <row r="222" spans="1:21">
      <c r="A222" s="478" t="s">
        <v>130</v>
      </c>
      <c r="B222" s="3" t="s">
        <v>39</v>
      </c>
      <c r="C222" s="463">
        <v>0.94909617996569717</v>
      </c>
      <c r="D222" s="674">
        <v>0.99620074298607475</v>
      </c>
      <c r="E222" s="464">
        <v>0.9634992744809604</v>
      </c>
      <c r="F222" s="464">
        <v>0.92588931119979911</v>
      </c>
      <c r="G222" s="464">
        <v>1</v>
      </c>
      <c r="H222" s="464">
        <v>0</v>
      </c>
      <c r="I222" s="464">
        <v>0</v>
      </c>
      <c r="J222" s="466">
        <v>0.96020182972884682</v>
      </c>
      <c r="K222" s="463">
        <v>0.95705978053930563</v>
      </c>
      <c r="L222" s="464">
        <v>0.88826625340640253</v>
      </c>
      <c r="M222" s="464">
        <v>0.92007470689278648</v>
      </c>
      <c r="N222" s="464">
        <v>0.98720066995609068</v>
      </c>
      <c r="O222" s="463">
        <v>0.92688097826826432</v>
      </c>
      <c r="P222" s="463">
        <v>1</v>
      </c>
      <c r="Q222" s="464">
        <v>1</v>
      </c>
      <c r="R222" s="464">
        <v>1</v>
      </c>
      <c r="S222" s="516">
        <v>1</v>
      </c>
      <c r="T222" s="536"/>
      <c r="U222" s="542"/>
    </row>
    <row r="223" spans="1:21">
      <c r="A223" s="479"/>
      <c r="B223" s="4" t="s">
        <v>41</v>
      </c>
      <c r="C223" s="506">
        <v>0.94855112343496994</v>
      </c>
      <c r="D223" s="635">
        <v>0.9853993389333352</v>
      </c>
      <c r="E223" s="508">
        <v>0.95741837520776207</v>
      </c>
      <c r="F223" s="508">
        <v>0.91245384927925377</v>
      </c>
      <c r="G223" s="508">
        <v>1</v>
      </c>
      <c r="H223" s="508">
        <v>0</v>
      </c>
      <c r="I223" s="508">
        <v>0</v>
      </c>
      <c r="J223" s="509">
        <v>0.95138973242397229</v>
      </c>
      <c r="K223" s="506">
        <v>0.98511965290488779</v>
      </c>
      <c r="L223" s="507">
        <v>0.94210205695177118</v>
      </c>
      <c r="M223" s="507">
        <v>0.92447198332181579</v>
      </c>
      <c r="N223" s="507">
        <v>0.98232508896273862</v>
      </c>
      <c r="O223" s="506">
        <v>0.94720294835574148</v>
      </c>
      <c r="P223" s="506">
        <v>1</v>
      </c>
      <c r="Q223" s="507">
        <v>1</v>
      </c>
      <c r="R223" s="690">
        <v>1</v>
      </c>
      <c r="S223" s="515">
        <v>1</v>
      </c>
      <c r="T223" s="543"/>
      <c r="U223" s="550"/>
    </row>
    <row r="224" spans="1:21">
      <c r="A224" s="479"/>
      <c r="B224" s="505" t="s">
        <v>87</v>
      </c>
      <c r="C224" s="510">
        <v>-5.4505653072722815E-2</v>
      </c>
      <c r="D224" s="530">
        <v>-1.0801404052739549</v>
      </c>
      <c r="E224" s="512">
        <v>-0.60808992731983258</v>
      </c>
      <c r="F224" s="512">
        <v>-1.3435461920545344</v>
      </c>
      <c r="G224" s="512">
        <v>0</v>
      </c>
      <c r="H224" s="512">
        <v>0</v>
      </c>
      <c r="I224" s="512">
        <v>0</v>
      </c>
      <c r="J224" s="514">
        <v>-0.88120973048745332</v>
      </c>
      <c r="K224" s="510">
        <v>2.8059872365582161</v>
      </c>
      <c r="L224" s="511">
        <v>5.3835803545368659</v>
      </c>
      <c r="M224" s="511">
        <v>0.43972764290293176</v>
      </c>
      <c r="N224" s="511">
        <v>-0.48755809933520577</v>
      </c>
      <c r="O224" s="510">
        <v>2.0321970087477159</v>
      </c>
      <c r="P224" s="510">
        <v>0</v>
      </c>
      <c r="Q224" s="511">
        <v>0</v>
      </c>
      <c r="R224" s="511">
        <v>0</v>
      </c>
      <c r="S224" s="517">
        <v>0</v>
      </c>
      <c r="T224" s="510"/>
      <c r="U224" s="528"/>
    </row>
    <row r="225" spans="1:21">
      <c r="A225" s="479"/>
      <c r="B225" s="4" t="s">
        <v>43</v>
      </c>
      <c r="C225" s="506">
        <v>0</v>
      </c>
      <c r="D225" s="508">
        <v>0</v>
      </c>
      <c r="E225" s="508">
        <v>0</v>
      </c>
      <c r="F225" s="508">
        <v>0</v>
      </c>
      <c r="G225" s="508">
        <v>0</v>
      </c>
      <c r="H225" s="508">
        <v>0</v>
      </c>
      <c r="I225" s="508">
        <v>0</v>
      </c>
      <c r="J225" s="509">
        <v>0</v>
      </c>
      <c r="K225" s="506">
        <v>0</v>
      </c>
      <c r="L225" s="507">
        <v>0</v>
      </c>
      <c r="M225" s="507">
        <v>0</v>
      </c>
      <c r="N225" s="507">
        <v>0</v>
      </c>
      <c r="O225" s="506">
        <v>0</v>
      </c>
      <c r="P225" s="506">
        <v>0</v>
      </c>
      <c r="Q225" s="507">
        <v>0</v>
      </c>
      <c r="R225" s="507">
        <v>0</v>
      </c>
      <c r="S225" s="515">
        <v>0</v>
      </c>
      <c r="T225" s="536"/>
      <c r="U225" s="542"/>
    </row>
    <row r="226" spans="1:21">
      <c r="A226" s="479"/>
      <c r="B226" s="4" t="s">
        <v>45</v>
      </c>
      <c r="C226" s="639">
        <v>0</v>
      </c>
      <c r="D226" s="640">
        <v>0</v>
      </c>
      <c r="E226" s="640">
        <v>0</v>
      </c>
      <c r="F226" s="640">
        <v>0</v>
      </c>
      <c r="G226" s="641">
        <v>0</v>
      </c>
      <c r="H226" s="508">
        <v>0</v>
      </c>
      <c r="I226" s="508">
        <v>0</v>
      </c>
      <c r="J226" s="509">
        <v>0</v>
      </c>
      <c r="K226" s="639">
        <v>0</v>
      </c>
      <c r="L226" s="640">
        <v>0</v>
      </c>
      <c r="M226" s="640">
        <v>0</v>
      </c>
      <c r="N226" s="641">
        <v>0</v>
      </c>
      <c r="O226" s="506">
        <v>0</v>
      </c>
      <c r="P226" s="639">
        <v>0</v>
      </c>
      <c r="Q226" s="640">
        <v>0</v>
      </c>
      <c r="R226" s="641">
        <v>0</v>
      </c>
      <c r="S226" s="515">
        <v>0</v>
      </c>
      <c r="T226" s="543"/>
      <c r="U226" s="550"/>
    </row>
    <row r="227" spans="1:21">
      <c r="A227" s="479"/>
      <c r="B227" s="4" t="s">
        <v>95</v>
      </c>
      <c r="C227" s="506">
        <v>0</v>
      </c>
      <c r="D227" s="508">
        <v>0</v>
      </c>
      <c r="E227" s="508">
        <v>0</v>
      </c>
      <c r="F227" s="508">
        <v>0</v>
      </c>
      <c r="G227" s="508">
        <v>0</v>
      </c>
      <c r="H227" s="508">
        <v>0</v>
      </c>
      <c r="I227" s="508">
        <v>0</v>
      </c>
      <c r="J227" s="509">
        <v>0</v>
      </c>
      <c r="K227" s="506">
        <v>0</v>
      </c>
      <c r="L227" s="507">
        <v>0</v>
      </c>
      <c r="M227" s="507">
        <v>0</v>
      </c>
      <c r="N227" s="507">
        <v>0</v>
      </c>
      <c r="O227" s="506">
        <v>0</v>
      </c>
      <c r="P227" s="506">
        <v>0</v>
      </c>
      <c r="Q227" s="507">
        <v>0</v>
      </c>
      <c r="R227" s="507">
        <v>0</v>
      </c>
      <c r="S227" s="515">
        <v>0</v>
      </c>
      <c r="T227" s="510"/>
      <c r="U227" s="528"/>
    </row>
    <row r="228" spans="1:21">
      <c r="A228" s="479"/>
      <c r="B228" s="4" t="s">
        <v>49</v>
      </c>
      <c r="C228" s="506">
        <v>5.7216732897305501E-4</v>
      </c>
      <c r="D228" s="508">
        <v>3.7411400050140165E-3</v>
      </c>
      <c r="E228" s="508">
        <v>3.3267732759245064E-2</v>
      </c>
      <c r="F228" s="508">
        <v>6.6652932758297034E-2</v>
      </c>
      <c r="G228" s="508">
        <v>0</v>
      </c>
      <c r="H228" s="508">
        <v>0</v>
      </c>
      <c r="I228" s="508">
        <v>0</v>
      </c>
      <c r="J228" s="509">
        <v>2.5884169536241581E-2</v>
      </c>
      <c r="K228" s="506">
        <v>4.294021946069438E-2</v>
      </c>
      <c r="L228" s="507">
        <v>9.5237025723954122E-2</v>
      </c>
      <c r="M228" s="507">
        <v>7.9482006134309433E-2</v>
      </c>
      <c r="N228" s="507">
        <v>1.2799330043909284E-2</v>
      </c>
      <c r="O228" s="506">
        <v>6.7499619642055336E-2</v>
      </c>
      <c r="P228" s="506">
        <v>0</v>
      </c>
      <c r="Q228" s="507">
        <v>0</v>
      </c>
      <c r="R228" s="507">
        <v>0</v>
      </c>
      <c r="S228" s="515">
        <v>0</v>
      </c>
      <c r="T228" s="536"/>
      <c r="U228" s="542"/>
    </row>
    <row r="229" spans="1:21">
      <c r="A229" s="479"/>
      <c r="B229" s="4" t="s">
        <v>51</v>
      </c>
      <c r="C229" s="506">
        <v>0</v>
      </c>
      <c r="D229" s="508">
        <v>1.448696127545899E-2</v>
      </c>
      <c r="E229" s="508">
        <v>4.0456321044718073E-2</v>
      </c>
      <c r="F229" s="508">
        <v>8.1350030031091008E-2</v>
      </c>
      <c r="G229" s="508">
        <v>0</v>
      </c>
      <c r="H229" s="508">
        <v>0</v>
      </c>
      <c r="I229" s="508">
        <v>0</v>
      </c>
      <c r="J229" s="509">
        <v>3.4987792801443984E-2</v>
      </c>
      <c r="K229" s="506">
        <v>1.4880347095112196E-2</v>
      </c>
      <c r="L229" s="507">
        <v>4.6479074047671508E-2</v>
      </c>
      <c r="M229" s="507">
        <v>7.3573904913444177E-2</v>
      </c>
      <c r="N229" s="507">
        <v>1.7674911037261418E-2</v>
      </c>
      <c r="O229" s="506">
        <v>4.8215353981721241E-2</v>
      </c>
      <c r="P229" s="506">
        <v>0</v>
      </c>
      <c r="Q229" s="507">
        <v>0</v>
      </c>
      <c r="R229" s="507">
        <v>0</v>
      </c>
      <c r="S229" s="515">
        <v>0</v>
      </c>
      <c r="T229" s="543"/>
      <c r="U229" s="550"/>
    </row>
    <row r="230" spans="1:21">
      <c r="A230" s="479"/>
      <c r="B230" s="4" t="s">
        <v>97</v>
      </c>
      <c r="C230" s="506">
        <v>-5.72167328973055E-2</v>
      </c>
      <c r="D230" s="508">
        <v>1.0745821270444975</v>
      </c>
      <c r="E230" s="508">
        <v>0.71885882854730088</v>
      </c>
      <c r="F230" s="508">
        <v>1.4697097272793975</v>
      </c>
      <c r="G230" s="508">
        <v>0</v>
      </c>
      <c r="H230" s="508">
        <v>0</v>
      </c>
      <c r="I230" s="508">
        <v>0</v>
      </c>
      <c r="J230" s="509">
        <v>0.91036232652024029</v>
      </c>
      <c r="K230" s="506">
        <v>-2.8059872365582184</v>
      </c>
      <c r="L230" s="507">
        <v>-4.8757951676282616</v>
      </c>
      <c r="M230" s="507">
        <v>-0.59081012208652561</v>
      </c>
      <c r="N230" s="507">
        <v>0.48755809933521344</v>
      </c>
      <c r="O230" s="506">
        <v>-1.9284265660334095</v>
      </c>
      <c r="P230" s="506">
        <v>0</v>
      </c>
      <c r="Q230" s="507">
        <v>0</v>
      </c>
      <c r="R230" s="507">
        <v>0</v>
      </c>
      <c r="S230" s="515">
        <v>0</v>
      </c>
      <c r="T230" s="510"/>
      <c r="U230" s="528"/>
    </row>
    <row r="231" spans="1:21">
      <c r="A231" s="479"/>
      <c r="B231" s="4" t="s">
        <v>53</v>
      </c>
      <c r="C231" s="506">
        <v>0</v>
      </c>
      <c r="D231" s="508">
        <v>5.8117008911274699E-5</v>
      </c>
      <c r="E231" s="508">
        <v>1.5846534616374003E-3</v>
      </c>
      <c r="F231" s="508">
        <v>6.391143335681913E-3</v>
      </c>
      <c r="G231" s="508">
        <v>0</v>
      </c>
      <c r="H231" s="508">
        <v>0</v>
      </c>
      <c r="I231" s="508">
        <v>0</v>
      </c>
      <c r="J231" s="509">
        <v>1.9980217666555342E-3</v>
      </c>
      <c r="K231" s="506">
        <v>0</v>
      </c>
      <c r="L231" s="507">
        <v>7.0748360434821668E-3</v>
      </c>
      <c r="M231" s="507">
        <v>4.4328697290408378E-4</v>
      </c>
      <c r="N231" s="507">
        <v>0</v>
      </c>
      <c r="O231" s="506">
        <v>2.5060331573172829E-3</v>
      </c>
      <c r="P231" s="506">
        <v>0</v>
      </c>
      <c r="Q231" s="507">
        <v>0</v>
      </c>
      <c r="R231" s="507">
        <v>0</v>
      </c>
      <c r="S231" s="515">
        <v>0</v>
      </c>
      <c r="T231" s="536"/>
      <c r="U231" s="542"/>
    </row>
    <row r="232" spans="1:21">
      <c r="A232" s="479"/>
      <c r="B232" s="4" t="s">
        <v>55</v>
      </c>
      <c r="C232" s="617">
        <v>0</v>
      </c>
      <c r="D232" s="508">
        <v>1.1369979120583797E-4</v>
      </c>
      <c r="E232" s="508">
        <v>1.1852655515014602E-3</v>
      </c>
      <c r="F232" s="508">
        <v>4.5775332108535897E-3</v>
      </c>
      <c r="G232" s="508">
        <v>0</v>
      </c>
      <c r="H232" s="508">
        <v>0</v>
      </c>
      <c r="I232" s="508">
        <v>0</v>
      </c>
      <c r="J232" s="509">
        <v>1.5299806502447175E-3</v>
      </c>
      <c r="K232" s="506">
        <v>0</v>
      </c>
      <c r="L232" s="507">
        <v>5.751558591370394E-3</v>
      </c>
      <c r="M232" s="507">
        <v>1.9541117647400423E-3</v>
      </c>
      <c r="N232" s="507">
        <v>0</v>
      </c>
      <c r="O232" s="506">
        <v>2.67238405477514E-3</v>
      </c>
      <c r="P232" s="506">
        <v>0</v>
      </c>
      <c r="Q232" s="507">
        <v>0</v>
      </c>
      <c r="R232" s="507">
        <v>0</v>
      </c>
      <c r="S232" s="515">
        <v>0</v>
      </c>
      <c r="T232" s="543"/>
      <c r="U232" s="550"/>
    </row>
    <row r="233" spans="1:21">
      <c r="A233" s="479"/>
      <c r="B233" s="4" t="s">
        <v>103</v>
      </c>
      <c r="C233" s="506">
        <v>0</v>
      </c>
      <c r="D233" s="508">
        <v>5.558278229456327E-3</v>
      </c>
      <c r="E233" s="508">
        <v>-3.9938791013594009E-2</v>
      </c>
      <c r="F233" s="508">
        <v>-0.18136101248283232</v>
      </c>
      <c r="G233" s="508">
        <v>0</v>
      </c>
      <c r="H233" s="508">
        <v>0</v>
      </c>
      <c r="I233" s="508">
        <v>0</v>
      </c>
      <c r="J233" s="509">
        <v>-4.6804111641081676E-2</v>
      </c>
      <c r="K233" s="506">
        <v>0</v>
      </c>
      <c r="L233" s="507">
        <v>-0.13232774521117729</v>
      </c>
      <c r="M233" s="507">
        <v>0.15108247918359582</v>
      </c>
      <c r="N233" s="507">
        <v>0</v>
      </c>
      <c r="O233" s="506">
        <v>1.6635089745785717E-2</v>
      </c>
      <c r="P233" s="506">
        <v>0</v>
      </c>
      <c r="Q233" s="507">
        <v>0</v>
      </c>
      <c r="R233" s="507">
        <v>0</v>
      </c>
      <c r="S233" s="515">
        <v>0</v>
      </c>
      <c r="T233" s="510"/>
      <c r="U233" s="528"/>
    </row>
    <row r="234" spans="1:21">
      <c r="A234" s="479"/>
      <c r="B234" s="4" t="s">
        <v>57</v>
      </c>
      <c r="C234" s="506">
        <v>0</v>
      </c>
      <c r="D234" s="508">
        <v>0</v>
      </c>
      <c r="E234" s="508">
        <v>1.6483392981571066E-3</v>
      </c>
      <c r="F234" s="508">
        <v>1.0666127062219481E-3</v>
      </c>
      <c r="G234" s="508">
        <v>0</v>
      </c>
      <c r="H234" s="508">
        <v>0</v>
      </c>
      <c r="I234" s="508">
        <v>0</v>
      </c>
      <c r="J234" s="509">
        <v>6.6823979549122318E-4</v>
      </c>
      <c r="K234" s="506">
        <v>0</v>
      </c>
      <c r="L234" s="507">
        <v>9.4218848261611709E-3</v>
      </c>
      <c r="M234" s="507">
        <v>0</v>
      </c>
      <c r="N234" s="507">
        <v>0</v>
      </c>
      <c r="O234" s="506">
        <v>3.1133689323630804E-3</v>
      </c>
      <c r="P234" s="506">
        <v>0</v>
      </c>
      <c r="Q234" s="507">
        <v>0</v>
      </c>
      <c r="R234" s="507">
        <v>0</v>
      </c>
      <c r="S234" s="515">
        <v>0</v>
      </c>
      <c r="T234" s="536"/>
      <c r="U234" s="542"/>
    </row>
    <row r="235" spans="1:21">
      <c r="A235" s="479"/>
      <c r="B235" s="4" t="s">
        <v>59</v>
      </c>
      <c r="C235" s="506">
        <v>0</v>
      </c>
      <c r="D235" s="508">
        <v>0</v>
      </c>
      <c r="E235" s="508">
        <v>9.4003819601839946E-4</v>
      </c>
      <c r="F235" s="508">
        <v>1.6185874788015829E-3</v>
      </c>
      <c r="G235" s="508">
        <v>0</v>
      </c>
      <c r="H235" s="508">
        <v>0</v>
      </c>
      <c r="I235" s="508">
        <v>0</v>
      </c>
      <c r="J235" s="509">
        <v>6.5440348842646986E-4</v>
      </c>
      <c r="K235" s="506">
        <v>0</v>
      </c>
      <c r="L235" s="507">
        <v>5.6673104091869405E-3</v>
      </c>
      <c r="M235" s="507">
        <v>0</v>
      </c>
      <c r="N235" s="507">
        <v>0</v>
      </c>
      <c r="O235" s="506">
        <v>1.9093136077621402E-3</v>
      </c>
      <c r="P235" s="506">
        <v>0</v>
      </c>
      <c r="Q235" s="507">
        <v>0</v>
      </c>
      <c r="R235" s="507">
        <v>0</v>
      </c>
      <c r="S235" s="515">
        <v>0</v>
      </c>
      <c r="T235" s="543"/>
      <c r="U235" s="550"/>
    </row>
    <row r="236" spans="1:21">
      <c r="A236" s="479"/>
      <c r="B236" s="4" t="s">
        <v>105</v>
      </c>
      <c r="C236" s="506">
        <v>0</v>
      </c>
      <c r="D236" s="508">
        <v>0</v>
      </c>
      <c r="E236" s="508">
        <v>-7.0830110213870714E-2</v>
      </c>
      <c r="F236" s="508">
        <v>5.5197477257963479E-2</v>
      </c>
      <c r="G236" s="508">
        <v>0</v>
      </c>
      <c r="H236" s="508">
        <v>0</v>
      </c>
      <c r="I236" s="508">
        <v>0</v>
      </c>
      <c r="J236" s="509">
        <v>-1.3836307064753325E-3</v>
      </c>
      <c r="K236" s="506">
        <v>0</v>
      </c>
      <c r="L236" s="507">
        <v>-0.37545744169742307</v>
      </c>
      <c r="M236" s="507">
        <v>0</v>
      </c>
      <c r="N236" s="507">
        <v>0</v>
      </c>
      <c r="O236" s="506">
        <v>-0.12040553246009401</v>
      </c>
      <c r="P236" s="506">
        <v>0</v>
      </c>
      <c r="Q236" s="507">
        <v>0</v>
      </c>
      <c r="R236" s="507">
        <v>0</v>
      </c>
      <c r="S236" s="515">
        <v>0</v>
      </c>
      <c r="T236" s="510"/>
      <c r="U236" s="528"/>
    </row>
    <row r="237" spans="1:21">
      <c r="A237" s="479"/>
      <c r="B237" s="4" t="s">
        <v>61</v>
      </c>
      <c r="C237" s="506">
        <v>5.0331652705329737E-2</v>
      </c>
      <c r="D237" s="508">
        <v>0</v>
      </c>
      <c r="E237" s="508">
        <v>0</v>
      </c>
      <c r="F237" s="508">
        <v>0</v>
      </c>
      <c r="G237" s="508">
        <v>0</v>
      </c>
      <c r="H237" s="508">
        <v>0</v>
      </c>
      <c r="I237" s="508">
        <v>0</v>
      </c>
      <c r="J237" s="509">
        <v>1.1247739172764799E-2</v>
      </c>
      <c r="K237" s="506">
        <v>0</v>
      </c>
      <c r="L237" s="507">
        <v>0</v>
      </c>
      <c r="M237" s="507">
        <v>0</v>
      </c>
      <c r="N237" s="507">
        <v>0</v>
      </c>
      <c r="O237" s="506">
        <v>0</v>
      </c>
      <c r="P237" s="506">
        <v>0</v>
      </c>
      <c r="Q237" s="507">
        <v>0</v>
      </c>
      <c r="R237" s="507">
        <v>0</v>
      </c>
      <c r="S237" s="515">
        <v>0</v>
      </c>
      <c r="T237" s="536"/>
      <c r="U237" s="542"/>
    </row>
    <row r="238" spans="1:21">
      <c r="A238" s="479"/>
      <c r="B238" s="4" t="s">
        <v>63</v>
      </c>
      <c r="C238" s="506">
        <v>5.1448876565030111E-2</v>
      </c>
      <c r="D238" s="508">
        <v>0</v>
      </c>
      <c r="E238" s="508">
        <v>0</v>
      </c>
      <c r="F238" s="508">
        <v>0</v>
      </c>
      <c r="G238" s="508">
        <v>0</v>
      </c>
      <c r="H238" s="508">
        <v>0</v>
      </c>
      <c r="I238" s="508">
        <v>0</v>
      </c>
      <c r="J238" s="509">
        <v>1.1438090635912546E-2</v>
      </c>
      <c r="K238" s="506">
        <v>0</v>
      </c>
      <c r="L238" s="507">
        <v>0</v>
      </c>
      <c r="M238" s="507">
        <v>0</v>
      </c>
      <c r="N238" s="507">
        <v>0</v>
      </c>
      <c r="O238" s="506">
        <v>0</v>
      </c>
      <c r="P238" s="506">
        <v>0</v>
      </c>
      <c r="Q238" s="507">
        <v>0</v>
      </c>
      <c r="R238" s="507">
        <v>0</v>
      </c>
      <c r="S238" s="515">
        <v>0</v>
      </c>
      <c r="T238" s="543"/>
      <c r="U238" s="550"/>
    </row>
    <row r="239" spans="1:21">
      <c r="A239" s="479"/>
      <c r="B239" s="4" t="s">
        <v>91</v>
      </c>
      <c r="C239" s="506">
        <v>0.11172238597003739</v>
      </c>
      <c r="D239" s="508">
        <v>0</v>
      </c>
      <c r="E239" s="508">
        <v>0</v>
      </c>
      <c r="F239" s="508">
        <v>0</v>
      </c>
      <c r="G239" s="508">
        <v>0</v>
      </c>
      <c r="H239" s="508">
        <v>0</v>
      </c>
      <c r="I239" s="508">
        <v>0</v>
      </c>
      <c r="J239" s="509">
        <v>1.9035146314774765E-2</v>
      </c>
      <c r="K239" s="506">
        <v>0</v>
      </c>
      <c r="L239" s="507">
        <v>0</v>
      </c>
      <c r="M239" s="507">
        <v>0</v>
      </c>
      <c r="N239" s="507">
        <v>0</v>
      </c>
      <c r="O239" s="506">
        <v>0</v>
      </c>
      <c r="P239" s="506">
        <v>0</v>
      </c>
      <c r="Q239" s="507">
        <v>0</v>
      </c>
      <c r="R239" s="507">
        <v>0</v>
      </c>
      <c r="S239" s="515">
        <v>0</v>
      </c>
      <c r="T239" s="510"/>
      <c r="U239" s="528"/>
    </row>
    <row r="240" spans="1:21">
      <c r="A240" s="479"/>
      <c r="B240" s="4" t="s">
        <v>47</v>
      </c>
      <c r="C240" s="506">
        <v>0.9809010983774511</v>
      </c>
      <c r="D240" s="508">
        <v>0.95488698870395416</v>
      </c>
      <c r="E240" s="508">
        <v>0.93119132131716842</v>
      </c>
      <c r="F240" s="508">
        <v>0.79767481044650379</v>
      </c>
      <c r="G240" s="508">
        <v>1</v>
      </c>
      <c r="H240" s="508">
        <v>0</v>
      </c>
      <c r="I240" s="508">
        <v>0</v>
      </c>
      <c r="J240" s="509">
        <v>0.93169810365193351</v>
      </c>
      <c r="K240" s="506">
        <v>0</v>
      </c>
      <c r="L240" s="507">
        <v>0</v>
      </c>
      <c r="M240" s="507">
        <v>0</v>
      </c>
      <c r="N240" s="507">
        <v>0</v>
      </c>
      <c r="O240" s="506">
        <v>0</v>
      </c>
      <c r="P240" s="506">
        <v>0</v>
      </c>
      <c r="Q240" s="507">
        <v>0</v>
      </c>
      <c r="R240" s="507">
        <v>0</v>
      </c>
      <c r="S240" s="515">
        <v>0</v>
      </c>
      <c r="T240" s="536"/>
      <c r="U240" s="542"/>
    </row>
    <row r="241" spans="1:21">
      <c r="A241" s="479"/>
      <c r="B241" s="4" t="s">
        <v>65</v>
      </c>
      <c r="C241" s="506">
        <v>1</v>
      </c>
      <c r="D241" s="508">
        <v>0.98679025744820237</v>
      </c>
      <c r="E241" s="508">
        <v>0.9312145986961633</v>
      </c>
      <c r="F241" s="508">
        <v>0.76861775212970596</v>
      </c>
      <c r="G241" s="508">
        <v>1</v>
      </c>
      <c r="H241" s="508">
        <v>0</v>
      </c>
      <c r="I241" s="508">
        <v>0</v>
      </c>
      <c r="J241" s="509">
        <v>0.93624614342432511</v>
      </c>
      <c r="K241" s="506">
        <v>0</v>
      </c>
      <c r="L241" s="507">
        <v>0</v>
      </c>
      <c r="M241" s="507">
        <v>0</v>
      </c>
      <c r="N241" s="507">
        <v>0</v>
      </c>
      <c r="O241" s="506">
        <v>0</v>
      </c>
      <c r="P241" s="506">
        <v>0</v>
      </c>
      <c r="Q241" s="507">
        <v>0</v>
      </c>
      <c r="R241" s="507">
        <v>0</v>
      </c>
      <c r="S241" s="515">
        <v>0</v>
      </c>
      <c r="T241" s="543"/>
      <c r="U241" s="550"/>
    </row>
    <row r="242" spans="1:21">
      <c r="A242" s="479"/>
      <c r="B242" s="4" t="s">
        <v>89</v>
      </c>
      <c r="C242" s="506">
        <v>1.9098901622548903</v>
      </c>
      <c r="D242" s="508">
        <v>3.1903268744248203</v>
      </c>
      <c r="E242" s="508">
        <v>2.327737899487925E-3</v>
      </c>
      <c r="F242" s="508">
        <v>-2.9057058316797835</v>
      </c>
      <c r="G242" s="508">
        <v>0</v>
      </c>
      <c r="H242" s="508">
        <v>0</v>
      </c>
      <c r="I242" s="508">
        <v>0</v>
      </c>
      <c r="J242" s="509">
        <v>0.45480397723915988</v>
      </c>
      <c r="K242" s="506">
        <v>0</v>
      </c>
      <c r="L242" s="507">
        <v>0</v>
      </c>
      <c r="M242" s="507">
        <v>0</v>
      </c>
      <c r="N242" s="507">
        <v>0</v>
      </c>
      <c r="O242" s="506">
        <v>0</v>
      </c>
      <c r="P242" s="506">
        <v>0</v>
      </c>
      <c r="Q242" s="507">
        <v>0</v>
      </c>
      <c r="R242" s="507">
        <v>0</v>
      </c>
      <c r="S242" s="515">
        <v>0</v>
      </c>
      <c r="T242" s="510"/>
      <c r="U242" s="528"/>
    </row>
    <row r="243" spans="1:21">
      <c r="A243" s="479"/>
      <c r="B243" s="4" t="s">
        <v>67</v>
      </c>
      <c r="C243" s="506">
        <v>0</v>
      </c>
      <c r="D243" s="508">
        <v>0</v>
      </c>
      <c r="E243" s="508">
        <v>0</v>
      </c>
      <c r="F243" s="508">
        <v>0</v>
      </c>
      <c r="G243" s="508">
        <v>0</v>
      </c>
      <c r="H243" s="508">
        <v>0</v>
      </c>
      <c r="I243" s="508">
        <v>0</v>
      </c>
      <c r="J243" s="509">
        <v>0</v>
      </c>
      <c r="K243" s="506">
        <v>0</v>
      </c>
      <c r="L243" s="507">
        <v>0</v>
      </c>
      <c r="M243" s="507">
        <v>0</v>
      </c>
      <c r="N243" s="507">
        <v>0</v>
      </c>
      <c r="O243" s="506">
        <v>0</v>
      </c>
      <c r="P243" s="506">
        <v>0</v>
      </c>
      <c r="Q243" s="507">
        <v>0</v>
      </c>
      <c r="R243" s="507">
        <v>0</v>
      </c>
      <c r="S243" s="515">
        <v>0</v>
      </c>
      <c r="T243" s="536"/>
      <c r="U243" s="542"/>
    </row>
    <row r="244" spans="1:21">
      <c r="A244" s="479"/>
      <c r="B244" s="4" t="s">
        <v>69</v>
      </c>
      <c r="C244" s="639">
        <v>0</v>
      </c>
      <c r="D244" s="640">
        <v>0</v>
      </c>
      <c r="E244" s="640">
        <v>0</v>
      </c>
      <c r="F244" s="640">
        <v>0</v>
      </c>
      <c r="G244" s="641">
        <v>0</v>
      </c>
      <c r="H244" s="508">
        <v>0</v>
      </c>
      <c r="I244" s="508">
        <v>0</v>
      </c>
      <c r="J244" s="509">
        <v>0</v>
      </c>
      <c r="K244" s="506">
        <v>0</v>
      </c>
      <c r="L244" s="507">
        <v>0</v>
      </c>
      <c r="M244" s="507">
        <v>0</v>
      </c>
      <c r="N244" s="507">
        <v>0</v>
      </c>
      <c r="O244" s="506">
        <v>0</v>
      </c>
      <c r="P244" s="506">
        <v>0</v>
      </c>
      <c r="Q244" s="507">
        <v>0</v>
      </c>
      <c r="R244" s="507">
        <v>0</v>
      </c>
      <c r="S244" s="515">
        <v>0</v>
      </c>
      <c r="T244" s="543"/>
      <c r="U244" s="550"/>
    </row>
    <row r="245" spans="1:21">
      <c r="A245" s="479"/>
      <c r="B245" s="4" t="s">
        <v>93</v>
      </c>
      <c r="C245" s="506">
        <v>0</v>
      </c>
      <c r="D245" s="508">
        <v>0</v>
      </c>
      <c r="E245" s="508">
        <v>0</v>
      </c>
      <c r="F245" s="508">
        <v>0</v>
      </c>
      <c r="G245" s="508">
        <v>0</v>
      </c>
      <c r="H245" s="508">
        <v>0</v>
      </c>
      <c r="I245" s="508">
        <v>0</v>
      </c>
      <c r="J245" s="509">
        <v>0</v>
      </c>
      <c r="K245" s="506">
        <v>0</v>
      </c>
      <c r="L245" s="507">
        <v>0</v>
      </c>
      <c r="M245" s="507">
        <v>0</v>
      </c>
      <c r="N245" s="507">
        <v>0</v>
      </c>
      <c r="O245" s="506">
        <v>0</v>
      </c>
      <c r="P245" s="506">
        <v>0</v>
      </c>
      <c r="Q245" s="507">
        <v>0</v>
      </c>
      <c r="R245" s="507">
        <v>0</v>
      </c>
      <c r="S245" s="515">
        <v>0</v>
      </c>
      <c r="T245" s="510"/>
      <c r="U245" s="528"/>
    </row>
    <row r="246" spans="1:21">
      <c r="A246" s="479"/>
      <c r="B246" s="4" t="s">
        <v>71</v>
      </c>
      <c r="C246" s="506">
        <v>3.2022110504872411E-3</v>
      </c>
      <c r="D246" s="508">
        <v>3.3034071151871319E-2</v>
      </c>
      <c r="E246" s="508">
        <v>6.7425744095637605E-2</v>
      </c>
      <c r="F246" s="508">
        <v>0.17807919123841617</v>
      </c>
      <c r="G246" s="508">
        <v>0</v>
      </c>
      <c r="H246" s="508">
        <v>0</v>
      </c>
      <c r="I246" s="508">
        <v>0</v>
      </c>
      <c r="J246" s="509">
        <v>5.523852933597282E-2</v>
      </c>
      <c r="K246" s="506">
        <v>0</v>
      </c>
      <c r="L246" s="507">
        <v>0</v>
      </c>
      <c r="M246" s="507">
        <v>0</v>
      </c>
      <c r="N246" s="507">
        <v>0</v>
      </c>
      <c r="O246" s="506">
        <v>0</v>
      </c>
      <c r="P246" s="506">
        <v>0</v>
      </c>
      <c r="Q246" s="507">
        <v>0</v>
      </c>
      <c r="R246" s="507">
        <v>0</v>
      </c>
      <c r="S246" s="515">
        <v>0</v>
      </c>
      <c r="T246" s="536"/>
      <c r="U246" s="542"/>
    </row>
    <row r="247" spans="1:21">
      <c r="A247" s="479"/>
      <c r="B247" s="4" t="s">
        <v>73</v>
      </c>
      <c r="C247" s="506">
        <v>0</v>
      </c>
      <c r="D247" s="508">
        <v>9.6897519384392759E-3</v>
      </c>
      <c r="E247" s="508">
        <v>6.7583092871646891E-2</v>
      </c>
      <c r="F247" s="508">
        <v>0.20557845561967575</v>
      </c>
      <c r="G247" s="508">
        <v>0</v>
      </c>
      <c r="H247" s="508">
        <v>0</v>
      </c>
      <c r="I247" s="508">
        <v>0</v>
      </c>
      <c r="J247" s="509">
        <v>5.7394860084322263E-2</v>
      </c>
      <c r="K247" s="506">
        <v>0</v>
      </c>
      <c r="L247" s="507">
        <v>0</v>
      </c>
      <c r="M247" s="507">
        <v>0</v>
      </c>
      <c r="N247" s="507">
        <v>0</v>
      </c>
      <c r="O247" s="506">
        <v>0</v>
      </c>
      <c r="P247" s="506">
        <v>0</v>
      </c>
      <c r="Q247" s="507">
        <v>0</v>
      </c>
      <c r="R247" s="507">
        <v>0</v>
      </c>
      <c r="S247" s="515">
        <v>0</v>
      </c>
      <c r="T247" s="543"/>
      <c r="U247" s="550"/>
    </row>
    <row r="248" spans="1:21">
      <c r="A248" s="479"/>
      <c r="B248" s="4" t="s">
        <v>99</v>
      </c>
      <c r="C248" s="506">
        <v>-0.32022110504872409</v>
      </c>
      <c r="D248" s="508">
        <v>-2.3344319213432043</v>
      </c>
      <c r="E248" s="508">
        <v>1.5734877600928621E-2</v>
      </c>
      <c r="F248" s="508">
        <v>2.7499264381259576</v>
      </c>
      <c r="G248" s="508">
        <v>0</v>
      </c>
      <c r="H248" s="508">
        <v>0</v>
      </c>
      <c r="I248" s="508">
        <v>0</v>
      </c>
      <c r="J248" s="509">
        <v>0.21563307483494429</v>
      </c>
      <c r="K248" s="506">
        <v>0</v>
      </c>
      <c r="L248" s="507">
        <v>0</v>
      </c>
      <c r="M248" s="507">
        <v>0</v>
      </c>
      <c r="N248" s="507">
        <v>0</v>
      </c>
      <c r="O248" s="506">
        <v>0</v>
      </c>
      <c r="P248" s="506">
        <v>0</v>
      </c>
      <c r="Q248" s="507">
        <v>0</v>
      </c>
      <c r="R248" s="507">
        <v>0</v>
      </c>
      <c r="S248" s="515">
        <v>0</v>
      </c>
      <c r="T248" s="510"/>
      <c r="U248" s="528"/>
    </row>
    <row r="249" spans="1:21">
      <c r="A249" s="479"/>
      <c r="B249" s="4" t="s">
        <v>75</v>
      </c>
      <c r="C249" s="506">
        <v>1.589669057206166E-2</v>
      </c>
      <c r="D249" s="508">
        <v>1.2078940144174554E-2</v>
      </c>
      <c r="E249" s="508">
        <v>1.3829345871940258E-3</v>
      </c>
      <c r="F249" s="508">
        <v>2.4245998315080033E-2</v>
      </c>
      <c r="G249" s="508">
        <v>0</v>
      </c>
      <c r="H249" s="508">
        <v>0</v>
      </c>
      <c r="I249" s="508">
        <v>0</v>
      </c>
      <c r="J249" s="509">
        <v>1.3063367012093669E-2</v>
      </c>
      <c r="K249" s="506">
        <v>0</v>
      </c>
      <c r="L249" s="507">
        <v>0</v>
      </c>
      <c r="M249" s="507">
        <v>0</v>
      </c>
      <c r="N249" s="507">
        <v>0</v>
      </c>
      <c r="O249" s="506">
        <v>0</v>
      </c>
      <c r="P249" s="506">
        <v>0</v>
      </c>
      <c r="Q249" s="507">
        <v>0</v>
      </c>
      <c r="R249" s="507">
        <v>0</v>
      </c>
      <c r="S249" s="515">
        <v>0</v>
      </c>
      <c r="T249" s="536"/>
      <c r="U249" s="542"/>
    </row>
    <row r="250" spans="1:21">
      <c r="A250" s="479"/>
      <c r="B250" s="4" t="s">
        <v>77</v>
      </c>
      <c r="C250" s="506">
        <v>0</v>
      </c>
      <c r="D250" s="508">
        <v>3.2853245724678067E-3</v>
      </c>
      <c r="E250" s="508">
        <v>1.2023084321898044E-3</v>
      </c>
      <c r="F250" s="508">
        <v>2.448474855729596E-2</v>
      </c>
      <c r="G250" s="508">
        <v>0</v>
      </c>
      <c r="H250" s="508">
        <v>0</v>
      </c>
      <c r="I250" s="508">
        <v>0</v>
      </c>
      <c r="J250" s="509">
        <v>6.0312131670561368E-3</v>
      </c>
      <c r="K250" s="506">
        <v>0</v>
      </c>
      <c r="L250" s="507">
        <v>0</v>
      </c>
      <c r="M250" s="507">
        <v>0</v>
      </c>
      <c r="N250" s="507">
        <v>0</v>
      </c>
      <c r="O250" s="506">
        <v>0</v>
      </c>
      <c r="P250" s="506">
        <v>0</v>
      </c>
      <c r="Q250" s="507">
        <v>0</v>
      </c>
      <c r="R250" s="507">
        <v>0</v>
      </c>
      <c r="S250" s="515">
        <v>0</v>
      </c>
      <c r="T250" s="543"/>
      <c r="U250" s="550"/>
    </row>
    <row r="251" spans="1:21">
      <c r="A251" s="479"/>
      <c r="B251" s="4" t="s">
        <v>101</v>
      </c>
      <c r="C251" s="506">
        <v>-1.589669057206166</v>
      </c>
      <c r="D251" s="508">
        <v>-0.87936155717067477</v>
      </c>
      <c r="E251" s="508">
        <v>-1.8062615500422138E-2</v>
      </c>
      <c r="F251" s="508">
        <v>2.3875024221592725E-2</v>
      </c>
      <c r="G251" s="508">
        <v>0</v>
      </c>
      <c r="H251" s="508">
        <v>0</v>
      </c>
      <c r="I251" s="508">
        <v>0</v>
      </c>
      <c r="J251" s="509">
        <v>-0.7032153845037532</v>
      </c>
      <c r="K251" s="506">
        <v>0</v>
      </c>
      <c r="L251" s="507">
        <v>0</v>
      </c>
      <c r="M251" s="507">
        <v>0</v>
      </c>
      <c r="N251" s="507">
        <v>0</v>
      </c>
      <c r="O251" s="506">
        <v>0</v>
      </c>
      <c r="P251" s="506">
        <v>0</v>
      </c>
      <c r="Q251" s="507">
        <v>0</v>
      </c>
      <c r="R251" s="507">
        <v>0</v>
      </c>
      <c r="S251" s="515">
        <v>0</v>
      </c>
      <c r="T251" s="510"/>
      <c r="U251" s="528"/>
    </row>
    <row r="252" spans="1:21">
      <c r="A252" s="479"/>
      <c r="B252" s="4" t="s">
        <v>79</v>
      </c>
      <c r="C252" s="506">
        <v>0</v>
      </c>
      <c r="D252" s="508">
        <v>0</v>
      </c>
      <c r="E252" s="508">
        <v>0</v>
      </c>
      <c r="F252" s="508">
        <v>0</v>
      </c>
      <c r="G252" s="508">
        <v>0</v>
      </c>
      <c r="H252" s="508">
        <v>0</v>
      </c>
      <c r="I252" s="508">
        <v>0</v>
      </c>
      <c r="J252" s="509">
        <v>0</v>
      </c>
      <c r="K252" s="506">
        <v>0</v>
      </c>
      <c r="L252" s="507">
        <v>0</v>
      </c>
      <c r="M252" s="507">
        <v>0</v>
      </c>
      <c r="N252" s="507">
        <v>0</v>
      </c>
      <c r="O252" s="506">
        <v>0</v>
      </c>
      <c r="P252" s="506">
        <v>0</v>
      </c>
      <c r="Q252" s="507">
        <v>0</v>
      </c>
      <c r="R252" s="507">
        <v>0</v>
      </c>
      <c r="S252" s="515">
        <v>0</v>
      </c>
      <c r="T252" s="536"/>
      <c r="U252" s="542"/>
    </row>
    <row r="253" spans="1:21">
      <c r="A253" s="479"/>
      <c r="B253" s="4" t="s">
        <v>81</v>
      </c>
      <c r="C253" s="506">
        <v>0</v>
      </c>
      <c r="D253" s="669">
        <v>2.3466604089055762E-4</v>
      </c>
      <c r="E253" s="508">
        <v>0</v>
      </c>
      <c r="F253" s="508">
        <v>1.3190436933223414E-3</v>
      </c>
      <c r="G253" s="508">
        <v>0</v>
      </c>
      <c r="H253" s="508">
        <v>0</v>
      </c>
      <c r="I253" s="508">
        <v>0</v>
      </c>
      <c r="J253" s="509">
        <v>3.2778332429652919E-4</v>
      </c>
      <c r="K253" s="506">
        <v>0</v>
      </c>
      <c r="L253" s="507">
        <v>0</v>
      </c>
      <c r="M253" s="507">
        <v>0</v>
      </c>
      <c r="N253" s="507">
        <v>0</v>
      </c>
      <c r="O253" s="506">
        <v>0</v>
      </c>
      <c r="P253" s="506">
        <v>0</v>
      </c>
      <c r="Q253" s="507">
        <v>0</v>
      </c>
      <c r="R253" s="507">
        <v>0</v>
      </c>
      <c r="S253" s="515">
        <v>0</v>
      </c>
      <c r="T253" s="543"/>
      <c r="U253" s="550"/>
    </row>
    <row r="254" spans="1:21">
      <c r="A254" s="479"/>
      <c r="B254" s="4" t="s">
        <v>107</v>
      </c>
      <c r="C254" s="506">
        <v>0</v>
      </c>
      <c r="D254" s="508">
        <v>0</v>
      </c>
      <c r="E254" s="508">
        <v>0</v>
      </c>
      <c r="F254" s="508">
        <v>0</v>
      </c>
      <c r="G254" s="508">
        <v>0</v>
      </c>
      <c r="H254" s="508">
        <v>0</v>
      </c>
      <c r="I254" s="508">
        <v>0</v>
      </c>
      <c r="J254" s="509">
        <v>0</v>
      </c>
      <c r="K254" s="506">
        <v>0</v>
      </c>
      <c r="L254" s="507">
        <v>0</v>
      </c>
      <c r="M254" s="507">
        <v>0</v>
      </c>
      <c r="N254" s="507">
        <v>0</v>
      </c>
      <c r="O254" s="506">
        <v>0</v>
      </c>
      <c r="P254" s="506">
        <v>0</v>
      </c>
      <c r="Q254" s="507">
        <v>0</v>
      </c>
      <c r="R254" s="507">
        <v>0</v>
      </c>
      <c r="S254" s="515">
        <v>0</v>
      </c>
      <c r="T254" s="551"/>
      <c r="U254" s="554"/>
    </row>
    <row r="255" spans="1:21">
      <c r="A255" s="479"/>
      <c r="B255" s="4" t="s">
        <v>83</v>
      </c>
      <c r="C255" s="506">
        <v>0</v>
      </c>
      <c r="D255" s="508">
        <v>0</v>
      </c>
      <c r="E255" s="508">
        <v>0</v>
      </c>
      <c r="F255" s="508">
        <v>0</v>
      </c>
      <c r="G255" s="508">
        <v>0</v>
      </c>
      <c r="H255" s="508">
        <v>0</v>
      </c>
      <c r="I255" s="508">
        <v>0</v>
      </c>
      <c r="J255" s="509">
        <v>0</v>
      </c>
      <c r="K255" s="506">
        <v>0</v>
      </c>
      <c r="L255" s="507">
        <v>0</v>
      </c>
      <c r="M255" s="507">
        <v>0</v>
      </c>
      <c r="N255" s="507">
        <v>0</v>
      </c>
      <c r="O255" s="506">
        <v>0</v>
      </c>
      <c r="P255" s="506">
        <v>0</v>
      </c>
      <c r="Q255" s="507">
        <v>0</v>
      </c>
      <c r="R255" s="507">
        <v>0</v>
      </c>
      <c r="S255" s="515">
        <v>0</v>
      </c>
      <c r="T255" s="506"/>
      <c r="U255" s="527"/>
    </row>
    <row r="256" spans="1:21">
      <c r="A256" s="479"/>
      <c r="B256" s="4" t="s">
        <v>85</v>
      </c>
      <c r="C256" s="506">
        <v>0</v>
      </c>
      <c r="D256" s="508">
        <v>0</v>
      </c>
      <c r="E256" s="508">
        <v>0</v>
      </c>
      <c r="F256" s="508">
        <v>0</v>
      </c>
      <c r="G256" s="508">
        <v>0</v>
      </c>
      <c r="H256" s="508">
        <v>0</v>
      </c>
      <c r="I256" s="508">
        <v>0</v>
      </c>
      <c r="J256" s="509">
        <v>0</v>
      </c>
      <c r="K256" s="506">
        <v>0</v>
      </c>
      <c r="L256" s="507">
        <v>0</v>
      </c>
      <c r="M256" s="507">
        <v>0</v>
      </c>
      <c r="N256" s="507">
        <v>0</v>
      </c>
      <c r="O256" s="506">
        <v>0</v>
      </c>
      <c r="P256" s="506">
        <v>0</v>
      </c>
      <c r="Q256" s="507">
        <v>0</v>
      </c>
      <c r="R256" s="507">
        <v>0</v>
      </c>
      <c r="S256" s="515">
        <v>0</v>
      </c>
      <c r="T256" s="506"/>
      <c r="U256" s="527"/>
    </row>
    <row r="257" spans="1:21">
      <c r="A257" s="502"/>
      <c r="B257" s="4" t="s">
        <v>109</v>
      </c>
      <c r="C257" s="506">
        <v>0</v>
      </c>
      <c r="D257" s="508">
        <v>0</v>
      </c>
      <c r="E257" s="508">
        <v>0</v>
      </c>
      <c r="F257" s="508">
        <v>0</v>
      </c>
      <c r="G257" s="508">
        <v>0</v>
      </c>
      <c r="H257" s="508">
        <v>0</v>
      </c>
      <c r="I257" s="508">
        <v>0</v>
      </c>
      <c r="J257" s="509">
        <v>0</v>
      </c>
      <c r="K257" s="506">
        <v>0</v>
      </c>
      <c r="L257" s="507">
        <v>0</v>
      </c>
      <c r="M257" s="507">
        <v>0</v>
      </c>
      <c r="N257" s="507">
        <v>0</v>
      </c>
      <c r="O257" s="506">
        <v>0</v>
      </c>
      <c r="P257" s="506">
        <v>0</v>
      </c>
      <c r="Q257" s="507">
        <v>0</v>
      </c>
      <c r="R257" s="507">
        <v>0</v>
      </c>
      <c r="S257" s="515">
        <v>0</v>
      </c>
      <c r="T257" s="510"/>
      <c r="U257" s="528"/>
    </row>
    <row r="258" spans="1:21">
      <c r="A258" s="734" t="s">
        <v>218</v>
      </c>
      <c r="B258" s="3" t="s">
        <v>39</v>
      </c>
      <c r="C258" s="463">
        <v>0.97615633864055151</v>
      </c>
      <c r="D258" s="464">
        <v>0.98139852233074054</v>
      </c>
      <c r="E258" s="464">
        <v>0.96971215797979593</v>
      </c>
      <c r="F258" s="464">
        <v>0.93641141700043173</v>
      </c>
      <c r="G258" s="464">
        <v>0</v>
      </c>
      <c r="H258" s="464">
        <v>0.99104492462811566</v>
      </c>
      <c r="I258" s="464">
        <v>0</v>
      </c>
      <c r="J258" s="466">
        <v>0.83649347063058133</v>
      </c>
      <c r="K258" s="463">
        <v>0</v>
      </c>
      <c r="L258" s="464">
        <v>0.8515598844107215</v>
      </c>
      <c r="M258" s="464">
        <v>0.82849648948290344</v>
      </c>
      <c r="N258" s="464">
        <v>0.80599916446177411</v>
      </c>
      <c r="O258" s="463">
        <v>0.83874283530842531</v>
      </c>
      <c r="P258" s="463">
        <v>0</v>
      </c>
      <c r="Q258" s="464">
        <v>0</v>
      </c>
      <c r="R258" s="464">
        <v>0</v>
      </c>
      <c r="S258" s="516">
        <v>0</v>
      </c>
      <c r="T258" s="536"/>
      <c r="U258" s="542"/>
    </row>
    <row r="259" spans="1:21">
      <c r="A259" s="735"/>
      <c r="B259" s="4" t="s">
        <v>41</v>
      </c>
      <c r="C259" s="506">
        <v>0.97627477821782305</v>
      </c>
      <c r="D259" s="508">
        <v>0.97774475420555196</v>
      </c>
      <c r="E259" s="508">
        <v>0.96945415896560216</v>
      </c>
      <c r="F259" s="508">
        <v>0.93212127400965283</v>
      </c>
      <c r="G259" s="508">
        <v>0</v>
      </c>
      <c r="H259" s="508">
        <v>1</v>
      </c>
      <c r="I259" s="508">
        <v>0</v>
      </c>
      <c r="J259" s="509">
        <v>0.84129468558854592</v>
      </c>
      <c r="K259" s="506">
        <v>0</v>
      </c>
      <c r="L259" s="507">
        <v>0.81059328150369503</v>
      </c>
      <c r="M259" s="507">
        <v>0.771661494057026</v>
      </c>
      <c r="N259" s="507">
        <v>0.83459017307090466</v>
      </c>
      <c r="O259" s="506">
        <v>0.79937462239501433</v>
      </c>
      <c r="P259" s="506">
        <v>0</v>
      </c>
      <c r="Q259" s="507">
        <v>0</v>
      </c>
      <c r="R259" s="507">
        <v>0</v>
      </c>
      <c r="S259" s="515">
        <v>0</v>
      </c>
      <c r="T259" s="543"/>
      <c r="U259" s="550"/>
    </row>
    <row r="260" spans="1:21" s="521" customFormat="1">
      <c r="A260" s="735"/>
      <c r="B260" s="505" t="s">
        <v>87</v>
      </c>
      <c r="C260" s="510">
        <v>1.1843957727153409E-2</v>
      </c>
      <c r="D260" s="512">
        <v>-0.36537681251885834</v>
      </c>
      <c r="E260" s="512">
        <v>-2.5799901419376603E-2</v>
      </c>
      <c r="F260" s="512">
        <v>-0.42901429907789002</v>
      </c>
      <c r="G260" s="512">
        <v>0</v>
      </c>
      <c r="H260" s="512">
        <v>0.89550753718843357</v>
      </c>
      <c r="I260" s="512">
        <v>0</v>
      </c>
      <c r="J260" s="514">
        <v>0.48012149579645946</v>
      </c>
      <c r="K260" s="510">
        <v>0</v>
      </c>
      <c r="L260" s="511">
        <v>-4.0966602907026477</v>
      </c>
      <c r="M260" s="511">
        <v>-5.6834995425877448</v>
      </c>
      <c r="N260" s="511">
        <v>2.8591008609130553</v>
      </c>
      <c r="O260" s="510">
        <v>-3.9368212913410972</v>
      </c>
      <c r="P260" s="510">
        <v>0</v>
      </c>
      <c r="Q260" s="511">
        <v>0</v>
      </c>
      <c r="R260" s="511">
        <v>0</v>
      </c>
      <c r="S260" s="517">
        <v>0</v>
      </c>
      <c r="T260" s="510"/>
      <c r="U260" s="528"/>
    </row>
    <row r="261" spans="1:21">
      <c r="A261" s="735"/>
      <c r="B261" s="4" t="s">
        <v>43</v>
      </c>
      <c r="C261" s="506">
        <v>1.9397399532081409E-2</v>
      </c>
      <c r="D261" s="508">
        <v>1.565393687740024E-2</v>
      </c>
      <c r="E261" s="508">
        <v>1.1251660372552036E-2</v>
      </c>
      <c r="F261" s="508">
        <v>1.1208552327918645E-2</v>
      </c>
      <c r="G261" s="508">
        <v>0</v>
      </c>
      <c r="H261" s="508">
        <v>8.9550753718843808E-3</v>
      </c>
      <c r="I261" s="660">
        <v>0.18801163112711161</v>
      </c>
      <c r="J261" s="509">
        <v>3.7320217263030045E-2</v>
      </c>
      <c r="K261" s="506">
        <v>0</v>
      </c>
      <c r="L261" s="507">
        <v>5.3227844488295276E-2</v>
      </c>
      <c r="M261" s="507">
        <v>5.3856838182441767E-2</v>
      </c>
      <c r="N261" s="507">
        <v>9.307153135589287E-2</v>
      </c>
      <c r="O261" s="506">
        <v>5.8045203721051382E-2</v>
      </c>
      <c r="P261" s="506">
        <v>0</v>
      </c>
      <c r="Q261" s="507">
        <v>0</v>
      </c>
      <c r="R261" s="507">
        <v>0</v>
      </c>
      <c r="S261" s="515">
        <v>0</v>
      </c>
      <c r="T261" s="536"/>
      <c r="U261" s="542"/>
    </row>
    <row r="262" spans="1:21">
      <c r="A262" s="735"/>
      <c r="B262" s="4" t="s">
        <v>45</v>
      </c>
      <c r="C262" s="506">
        <v>1.8044209468396643E-2</v>
      </c>
      <c r="D262" s="508">
        <v>1.8538112504705859E-2</v>
      </c>
      <c r="E262" s="508">
        <v>1.0978559454823244E-2</v>
      </c>
      <c r="F262" s="508">
        <v>9.4599060249815261E-3</v>
      </c>
      <c r="G262" s="508">
        <v>0</v>
      </c>
      <c r="H262" s="508">
        <v>0</v>
      </c>
      <c r="I262" s="661">
        <v>0.16499380685943707</v>
      </c>
      <c r="J262" s="509">
        <v>3.2399045827934986E-2</v>
      </c>
      <c r="K262" s="506">
        <v>0</v>
      </c>
      <c r="L262" s="507">
        <v>9.0696276447974428E-2</v>
      </c>
      <c r="M262" s="507">
        <v>9.4621019625422256E-2</v>
      </c>
      <c r="N262" s="507">
        <v>5.3447484962937879E-2</v>
      </c>
      <c r="O262" s="506">
        <v>8.8623331366080069E-2</v>
      </c>
      <c r="P262" s="506">
        <v>0</v>
      </c>
      <c r="Q262" s="507">
        <v>0</v>
      </c>
      <c r="R262" s="507">
        <v>0</v>
      </c>
      <c r="S262" s="515">
        <v>0</v>
      </c>
      <c r="T262" s="543"/>
      <c r="U262" s="550"/>
    </row>
    <row r="263" spans="1:21" s="521" customFormat="1">
      <c r="A263" s="735"/>
      <c r="B263" s="4" t="s">
        <v>95</v>
      </c>
      <c r="C263" s="649">
        <v>-0.13531900636847666</v>
      </c>
      <c r="D263" s="676">
        <v>0.28841756273056196</v>
      </c>
      <c r="E263" s="676">
        <v>-2.7310091772879234E-2</v>
      </c>
      <c r="F263" s="676">
        <v>-0.17486463029371194</v>
      </c>
      <c r="G263" s="676">
        <v>0</v>
      </c>
      <c r="H263" s="676">
        <v>-0.89550753718843812</v>
      </c>
      <c r="I263" s="722">
        <v>-2.301782426767454</v>
      </c>
      <c r="J263" s="680">
        <v>-0.49211714350950592</v>
      </c>
      <c r="K263" s="649">
        <v>0</v>
      </c>
      <c r="L263" s="650">
        <v>3.7468431959679154</v>
      </c>
      <c r="M263" s="650">
        <v>4.0764181442980485</v>
      </c>
      <c r="N263" s="650">
        <v>-3.962404639295499</v>
      </c>
      <c r="O263" s="649">
        <v>3.0578127645028688</v>
      </c>
      <c r="P263" s="649">
        <v>0</v>
      </c>
      <c r="Q263" s="650">
        <v>0</v>
      </c>
      <c r="R263" s="650">
        <v>0</v>
      </c>
      <c r="S263" s="719">
        <v>0</v>
      </c>
      <c r="T263" s="510"/>
      <c r="U263" s="528"/>
    </row>
    <row r="264" spans="1:21">
      <c r="A264" s="735"/>
      <c r="B264" s="4" t="s">
        <v>49</v>
      </c>
      <c r="C264" s="506">
        <v>3.627145489554649E-3</v>
      </c>
      <c r="D264" s="508">
        <v>2.9475407918591731E-3</v>
      </c>
      <c r="E264" s="508">
        <v>1.903618164765199E-2</v>
      </c>
      <c r="F264" s="508">
        <v>4.818575703884579E-2</v>
      </c>
      <c r="G264" s="508">
        <v>0</v>
      </c>
      <c r="H264" s="508">
        <v>0</v>
      </c>
      <c r="I264" s="661">
        <v>0.81198836887288839</v>
      </c>
      <c r="J264" s="509">
        <v>0.12492110811333147</v>
      </c>
      <c r="K264" s="506">
        <v>0</v>
      </c>
      <c r="L264" s="507">
        <v>9.294584491103236E-2</v>
      </c>
      <c r="M264" s="507">
        <v>0.10787924819874928</v>
      </c>
      <c r="N264" s="507">
        <v>7.9569233625771715E-2</v>
      </c>
      <c r="O264" s="506">
        <v>9.6282107736158404E-2</v>
      </c>
      <c r="P264" s="506">
        <v>0</v>
      </c>
      <c r="Q264" s="507">
        <v>0</v>
      </c>
      <c r="R264" s="507">
        <v>0</v>
      </c>
      <c r="S264" s="515">
        <v>0</v>
      </c>
      <c r="T264" s="536"/>
      <c r="U264" s="542"/>
    </row>
    <row r="265" spans="1:21">
      <c r="A265" s="735"/>
      <c r="B265" s="4" t="s">
        <v>51</v>
      </c>
      <c r="C265" s="506">
        <v>5.2458873308676253E-3</v>
      </c>
      <c r="D265" s="508">
        <v>3.7171332897422181E-3</v>
      </c>
      <c r="E265" s="508">
        <v>1.9567281579574627E-2</v>
      </c>
      <c r="F265" s="508">
        <v>5.5362433536005083E-2</v>
      </c>
      <c r="G265" s="508">
        <v>0</v>
      </c>
      <c r="H265" s="508">
        <v>0</v>
      </c>
      <c r="I265" s="661">
        <v>0.8350061931405629</v>
      </c>
      <c r="J265" s="509">
        <v>0.12541218039215124</v>
      </c>
      <c r="K265" s="506">
        <v>0</v>
      </c>
      <c r="L265" s="507">
        <v>9.6995456282117171E-2</v>
      </c>
      <c r="M265" s="507">
        <v>0.12623988253563839</v>
      </c>
      <c r="N265" s="507">
        <v>0.10379538449006889</v>
      </c>
      <c r="O265" s="506">
        <v>0.10770625066728677</v>
      </c>
      <c r="P265" s="506">
        <v>0</v>
      </c>
      <c r="Q265" s="507">
        <v>0</v>
      </c>
      <c r="R265" s="507">
        <v>0</v>
      </c>
      <c r="S265" s="515">
        <v>0</v>
      </c>
      <c r="T265" s="543"/>
      <c r="U265" s="550"/>
    </row>
    <row r="266" spans="1:21" s="521" customFormat="1">
      <c r="A266" s="735"/>
      <c r="B266" s="4" t="s">
        <v>97</v>
      </c>
      <c r="C266" s="649">
        <v>0.16187418413129762</v>
      </c>
      <c r="D266" s="676">
        <v>7.6959249788304512E-2</v>
      </c>
      <c r="E266" s="676">
        <v>5.3109993192263644E-2</v>
      </c>
      <c r="F266" s="676">
        <v>0.71766764971592933</v>
      </c>
      <c r="G266" s="676">
        <v>0</v>
      </c>
      <c r="H266" s="676">
        <v>0</v>
      </c>
      <c r="I266" s="722">
        <v>2.3017824267674514</v>
      </c>
      <c r="J266" s="680">
        <v>4.91072278819768E-2</v>
      </c>
      <c r="K266" s="649">
        <v>0</v>
      </c>
      <c r="L266" s="650">
        <v>0.40496113710848103</v>
      </c>
      <c r="M266" s="650">
        <v>1.8360634336889115</v>
      </c>
      <c r="N266" s="650">
        <v>2.4226150864297176</v>
      </c>
      <c r="O266" s="649">
        <v>1.1424142931128367</v>
      </c>
      <c r="P266" s="649">
        <v>0</v>
      </c>
      <c r="Q266" s="650">
        <v>0</v>
      </c>
      <c r="R266" s="650">
        <v>0</v>
      </c>
      <c r="S266" s="719">
        <v>0</v>
      </c>
      <c r="T266" s="510"/>
      <c r="U266" s="528"/>
    </row>
    <row r="267" spans="1:21">
      <c r="A267" s="735"/>
      <c r="B267" s="4" t="s">
        <v>53</v>
      </c>
      <c r="C267" s="506">
        <v>8.1911633781237708E-4</v>
      </c>
      <c r="D267" s="508">
        <v>0</v>
      </c>
      <c r="E267" s="508">
        <v>0</v>
      </c>
      <c r="F267" s="508">
        <v>3.3053913613150096E-4</v>
      </c>
      <c r="G267" s="508">
        <v>0</v>
      </c>
      <c r="H267" s="508">
        <v>0</v>
      </c>
      <c r="I267" s="508">
        <v>0</v>
      </c>
      <c r="J267" s="509">
        <v>3.1355055480111911E-4</v>
      </c>
      <c r="K267" s="506">
        <v>0</v>
      </c>
      <c r="L267" s="507">
        <v>7.8761781481955764E-4</v>
      </c>
      <c r="M267" s="507">
        <v>4.1392958466436877E-3</v>
      </c>
      <c r="N267" s="507">
        <v>1.6302279162605023E-2</v>
      </c>
      <c r="O267" s="506">
        <v>3.6796175364012858E-3</v>
      </c>
      <c r="P267" s="506">
        <v>0</v>
      </c>
      <c r="Q267" s="507">
        <v>0</v>
      </c>
      <c r="R267" s="507">
        <v>0</v>
      </c>
      <c r="S267" s="515">
        <v>0</v>
      </c>
      <c r="T267" s="536"/>
      <c r="U267" s="542"/>
    </row>
    <row r="268" spans="1:21">
      <c r="A268" s="735"/>
      <c r="B268" s="4" t="s">
        <v>55</v>
      </c>
      <c r="C268" s="506">
        <v>4.3512498291268045E-4</v>
      </c>
      <c r="D268" s="508">
        <v>0</v>
      </c>
      <c r="E268" s="669">
        <v>0</v>
      </c>
      <c r="F268" s="508">
        <v>1.226809402040333E-3</v>
      </c>
      <c r="G268" s="508">
        <v>0</v>
      </c>
      <c r="H268" s="508">
        <v>0</v>
      </c>
      <c r="I268" s="508">
        <v>0</v>
      </c>
      <c r="J268" s="509">
        <v>4.3162878203965394E-4</v>
      </c>
      <c r="K268" s="506">
        <v>0</v>
      </c>
      <c r="L268" s="507">
        <v>4.7969181292615936E-4</v>
      </c>
      <c r="M268" s="507">
        <v>3.0017907826154575E-3</v>
      </c>
      <c r="N268" s="507">
        <v>6.7822187544210894E-3</v>
      </c>
      <c r="O268" s="506">
        <v>1.9292235322096074E-3</v>
      </c>
      <c r="P268" s="506">
        <v>0</v>
      </c>
      <c r="Q268" s="507">
        <v>0</v>
      </c>
      <c r="R268" s="507">
        <v>0</v>
      </c>
      <c r="S268" s="515">
        <v>0</v>
      </c>
      <c r="T268" s="543"/>
      <c r="U268" s="550"/>
    </row>
    <row r="269" spans="1:21" s="521" customFormat="1">
      <c r="A269" s="735"/>
      <c r="B269" s="4" t="s">
        <v>103</v>
      </c>
      <c r="C269" s="649">
        <v>-3.8399135489969663E-2</v>
      </c>
      <c r="D269" s="676">
        <v>0</v>
      </c>
      <c r="E269" s="676">
        <v>0</v>
      </c>
      <c r="F269" s="676">
        <v>8.9627026590883202E-2</v>
      </c>
      <c r="G269" s="676">
        <v>0</v>
      </c>
      <c r="H269" s="676">
        <v>0</v>
      </c>
      <c r="I269" s="676">
        <v>0</v>
      </c>
      <c r="J269" s="680">
        <v>1.1807822723853483E-2</v>
      </c>
      <c r="K269" s="649">
        <v>0</v>
      </c>
      <c r="L269" s="650">
        <v>-3.0792600189339828E-2</v>
      </c>
      <c r="M269" s="650">
        <v>-0.11375050640282303</v>
      </c>
      <c r="N269" s="650">
        <v>-0.95200604081839335</v>
      </c>
      <c r="O269" s="649">
        <v>-0.17503940041916785</v>
      </c>
      <c r="P269" s="649">
        <v>0</v>
      </c>
      <c r="Q269" s="650">
        <v>0</v>
      </c>
      <c r="R269" s="650">
        <v>0</v>
      </c>
      <c r="S269" s="719">
        <v>0</v>
      </c>
      <c r="T269" s="510"/>
      <c r="U269" s="528"/>
    </row>
    <row r="270" spans="1:21">
      <c r="A270" s="735"/>
      <c r="B270" s="4" t="s">
        <v>57</v>
      </c>
      <c r="C270" s="506">
        <v>0</v>
      </c>
      <c r="D270" s="508">
        <v>0</v>
      </c>
      <c r="E270" s="508">
        <v>0</v>
      </c>
      <c r="F270" s="508">
        <v>3.8637344966722751E-3</v>
      </c>
      <c r="G270" s="508">
        <v>0</v>
      </c>
      <c r="H270" s="508">
        <v>0</v>
      </c>
      <c r="I270" s="508">
        <v>0</v>
      </c>
      <c r="J270" s="509">
        <v>9.5165343825602815E-4</v>
      </c>
      <c r="K270" s="506">
        <v>0</v>
      </c>
      <c r="L270" s="507">
        <v>1.4788083751313338E-3</v>
      </c>
      <c r="M270" s="507">
        <v>5.5532267453702305E-3</v>
      </c>
      <c r="N270" s="507">
        <v>4.8795432391031887E-3</v>
      </c>
      <c r="O270" s="506">
        <v>3.2051054747044023E-3</v>
      </c>
      <c r="P270" s="506">
        <v>0</v>
      </c>
      <c r="Q270" s="507">
        <v>0</v>
      </c>
      <c r="R270" s="507">
        <v>0</v>
      </c>
      <c r="S270" s="515">
        <v>0</v>
      </c>
      <c r="T270" s="536"/>
      <c r="U270" s="542"/>
    </row>
    <row r="271" spans="1:21">
      <c r="A271" s="735"/>
      <c r="B271" s="4" t="s">
        <v>59</v>
      </c>
      <c r="C271" s="506">
        <v>0</v>
      </c>
      <c r="D271" s="508">
        <v>0</v>
      </c>
      <c r="E271" s="508">
        <v>0</v>
      </c>
      <c r="F271" s="508">
        <v>1.8295770273202654E-3</v>
      </c>
      <c r="G271" s="508">
        <v>0</v>
      </c>
      <c r="H271" s="508">
        <v>0</v>
      </c>
      <c r="I271" s="508">
        <v>0</v>
      </c>
      <c r="J271" s="509">
        <v>4.6245940932820065E-4</v>
      </c>
      <c r="K271" s="506">
        <v>0</v>
      </c>
      <c r="L271" s="507">
        <v>1.2352939532872191E-3</v>
      </c>
      <c r="M271" s="507">
        <v>4.3145739515459509E-3</v>
      </c>
      <c r="N271" s="507">
        <v>1.311857736316595E-3</v>
      </c>
      <c r="O271" s="506">
        <v>2.3042626939290141E-3</v>
      </c>
      <c r="P271" s="506">
        <v>0</v>
      </c>
      <c r="Q271" s="507">
        <v>0</v>
      </c>
      <c r="R271" s="507">
        <v>0</v>
      </c>
      <c r="S271" s="515">
        <v>0</v>
      </c>
      <c r="T271" s="543"/>
      <c r="U271" s="550"/>
    </row>
    <row r="272" spans="1:21" s="521" customFormat="1">
      <c r="A272" s="735"/>
      <c r="B272" s="4" t="s">
        <v>105</v>
      </c>
      <c r="C272" s="649">
        <v>0</v>
      </c>
      <c r="D272" s="676">
        <v>0</v>
      </c>
      <c r="E272" s="676">
        <v>0</v>
      </c>
      <c r="F272" s="676">
        <v>-0.20341574693520095</v>
      </c>
      <c r="G272" s="676">
        <v>0</v>
      </c>
      <c r="H272" s="676">
        <v>0</v>
      </c>
      <c r="I272" s="676">
        <v>0</v>
      </c>
      <c r="J272" s="680">
        <v>-4.8919402892782744E-2</v>
      </c>
      <c r="K272" s="649">
        <v>0</v>
      </c>
      <c r="L272" s="650">
        <v>-2.4351442184411477E-2</v>
      </c>
      <c r="M272" s="650">
        <v>-0.12386527938242796</v>
      </c>
      <c r="N272" s="650">
        <v>-0.35676855027865939</v>
      </c>
      <c r="O272" s="649">
        <v>-9.0084278077538812E-2</v>
      </c>
      <c r="P272" s="649">
        <v>0</v>
      </c>
      <c r="Q272" s="650">
        <v>0</v>
      </c>
      <c r="R272" s="650">
        <v>0</v>
      </c>
      <c r="S272" s="719">
        <v>0</v>
      </c>
      <c r="T272" s="510"/>
      <c r="U272" s="528"/>
    </row>
    <row r="273" spans="1:21">
      <c r="A273" s="735"/>
      <c r="B273" s="4" t="s">
        <v>61</v>
      </c>
      <c r="C273" s="506">
        <v>0</v>
      </c>
      <c r="D273" s="508">
        <v>0</v>
      </c>
      <c r="E273" s="508">
        <v>0</v>
      </c>
      <c r="F273" s="508">
        <v>0</v>
      </c>
      <c r="G273" s="508">
        <v>0</v>
      </c>
      <c r="H273" s="508">
        <v>0</v>
      </c>
      <c r="I273" s="508">
        <v>0</v>
      </c>
      <c r="J273" s="509">
        <v>0</v>
      </c>
      <c r="K273" s="506">
        <v>0</v>
      </c>
      <c r="L273" s="507">
        <v>0</v>
      </c>
      <c r="M273" s="507">
        <v>7.4901543891647696E-5</v>
      </c>
      <c r="N273" s="507">
        <v>1.7824815485308453E-4</v>
      </c>
      <c r="O273" s="506">
        <v>4.5130223259214464E-5</v>
      </c>
      <c r="P273" s="506">
        <v>0</v>
      </c>
      <c r="Q273" s="507">
        <v>0</v>
      </c>
      <c r="R273" s="507">
        <v>0</v>
      </c>
      <c r="S273" s="515">
        <v>0</v>
      </c>
      <c r="T273" s="536"/>
      <c r="U273" s="542"/>
    </row>
    <row r="274" spans="1:21">
      <c r="A274" s="735"/>
      <c r="B274" s="4" t="s">
        <v>63</v>
      </c>
      <c r="C274" s="506">
        <v>0</v>
      </c>
      <c r="D274" s="508">
        <v>0</v>
      </c>
      <c r="E274" s="508">
        <v>0</v>
      </c>
      <c r="F274" s="508">
        <v>0</v>
      </c>
      <c r="G274" s="508">
        <v>0</v>
      </c>
      <c r="H274" s="508">
        <v>0</v>
      </c>
      <c r="I274" s="508">
        <v>0</v>
      </c>
      <c r="J274" s="509">
        <v>0</v>
      </c>
      <c r="K274" s="506">
        <v>0</v>
      </c>
      <c r="L274" s="507">
        <v>0</v>
      </c>
      <c r="M274" s="507">
        <v>1.6123904775191601E-4</v>
      </c>
      <c r="N274" s="507">
        <v>7.2880985350921943E-5</v>
      </c>
      <c r="O274" s="506">
        <v>6.2309345480195832E-5</v>
      </c>
      <c r="P274" s="506">
        <v>0</v>
      </c>
      <c r="Q274" s="507">
        <v>0</v>
      </c>
      <c r="R274" s="507">
        <v>0</v>
      </c>
      <c r="S274" s="515">
        <v>0</v>
      </c>
      <c r="T274" s="543"/>
      <c r="U274" s="550"/>
    </row>
    <row r="275" spans="1:21" s="521" customFormat="1">
      <c r="A275" s="735"/>
      <c r="B275" s="4" t="s">
        <v>91</v>
      </c>
      <c r="C275" s="649">
        <v>0</v>
      </c>
      <c r="D275" s="676">
        <v>0</v>
      </c>
      <c r="E275" s="676">
        <v>0</v>
      </c>
      <c r="F275" s="676">
        <v>0</v>
      </c>
      <c r="G275" s="676">
        <v>0</v>
      </c>
      <c r="H275" s="676">
        <v>0</v>
      </c>
      <c r="I275" s="676">
        <v>0</v>
      </c>
      <c r="J275" s="680">
        <v>0</v>
      </c>
      <c r="K275" s="649">
        <v>0</v>
      </c>
      <c r="L275" s="650">
        <v>0</v>
      </c>
      <c r="M275" s="650">
        <v>8.6337503860268311E-3</v>
      </c>
      <c r="N275" s="650">
        <v>-1.0536716950216258E-2</v>
      </c>
      <c r="O275" s="649">
        <v>1.7179122220981368E-3</v>
      </c>
      <c r="P275" s="649">
        <v>0</v>
      </c>
      <c r="Q275" s="650">
        <v>0</v>
      </c>
      <c r="R275" s="650">
        <v>0</v>
      </c>
      <c r="S275" s="719">
        <v>0</v>
      </c>
      <c r="T275" s="510"/>
      <c r="U275" s="528"/>
    </row>
    <row r="276" spans="1:21">
      <c r="A276" s="735"/>
      <c r="B276" s="4" t="s">
        <v>47</v>
      </c>
      <c r="C276" s="506">
        <v>0.78631923568755313</v>
      </c>
      <c r="D276" s="508">
        <v>0.77126982780558151</v>
      </c>
      <c r="E276" s="642">
        <v>0.70055864207004515</v>
      </c>
      <c r="F276" s="508">
        <v>0.79432378887559807</v>
      </c>
      <c r="G276" s="508">
        <v>0</v>
      </c>
      <c r="H276" s="508">
        <v>1</v>
      </c>
      <c r="I276" s="508">
        <v>0</v>
      </c>
      <c r="J276" s="509">
        <v>0.57101963360026353</v>
      </c>
      <c r="K276" s="506">
        <v>0</v>
      </c>
      <c r="L276" s="507">
        <v>0</v>
      </c>
      <c r="M276" s="507">
        <v>0</v>
      </c>
      <c r="N276" s="507">
        <v>0</v>
      </c>
      <c r="O276" s="506">
        <v>0</v>
      </c>
      <c r="P276" s="506">
        <v>0</v>
      </c>
      <c r="Q276" s="507">
        <v>0</v>
      </c>
      <c r="R276" s="507">
        <v>0</v>
      </c>
      <c r="S276" s="515">
        <v>0</v>
      </c>
      <c r="T276" s="536"/>
      <c r="U276" s="542"/>
    </row>
    <row r="277" spans="1:21">
      <c r="A277" s="735"/>
      <c r="B277" s="4" t="s">
        <v>65</v>
      </c>
      <c r="C277" s="506">
        <v>0.7741108085515771</v>
      </c>
      <c r="D277" s="508">
        <v>0.73756371251333519</v>
      </c>
      <c r="E277" s="643">
        <v>0.67967970992597071</v>
      </c>
      <c r="F277" s="508">
        <v>0.79467938737825405</v>
      </c>
      <c r="G277" s="508">
        <v>0</v>
      </c>
      <c r="H277" s="508">
        <v>1</v>
      </c>
      <c r="I277" s="508">
        <v>0</v>
      </c>
      <c r="J277" s="509">
        <v>0.57994881465371384</v>
      </c>
      <c r="K277" s="506">
        <v>0</v>
      </c>
      <c r="L277" s="507">
        <v>0</v>
      </c>
      <c r="M277" s="507">
        <v>0</v>
      </c>
      <c r="N277" s="507">
        <v>0</v>
      </c>
      <c r="O277" s="506">
        <v>0</v>
      </c>
      <c r="P277" s="506">
        <v>0</v>
      </c>
      <c r="Q277" s="507">
        <v>0</v>
      </c>
      <c r="R277" s="507">
        <v>0</v>
      </c>
      <c r="S277" s="515">
        <v>0</v>
      </c>
      <c r="T277" s="543"/>
      <c r="U277" s="550"/>
    </row>
    <row r="278" spans="1:21" s="521" customFormat="1">
      <c r="A278" s="735"/>
      <c r="B278" s="4" t="s">
        <v>89</v>
      </c>
      <c r="C278" s="649">
        <v>-1.220842713597603</v>
      </c>
      <c r="D278" s="676">
        <v>-3.3706115292246319</v>
      </c>
      <c r="E278" s="723">
        <v>-2.0878932144074436</v>
      </c>
      <c r="F278" s="676">
        <v>3.5559850265598492E-2</v>
      </c>
      <c r="G278" s="676">
        <v>0</v>
      </c>
      <c r="H278" s="676">
        <v>0</v>
      </c>
      <c r="I278" s="676">
        <v>0</v>
      </c>
      <c r="J278" s="680">
        <v>0.8929181053450308</v>
      </c>
      <c r="K278" s="649">
        <v>0</v>
      </c>
      <c r="L278" s="650">
        <v>0</v>
      </c>
      <c r="M278" s="650">
        <v>0</v>
      </c>
      <c r="N278" s="650">
        <v>0</v>
      </c>
      <c r="O278" s="649">
        <v>0</v>
      </c>
      <c r="P278" s="649">
        <v>0</v>
      </c>
      <c r="Q278" s="650">
        <v>0</v>
      </c>
      <c r="R278" s="650">
        <v>0</v>
      </c>
      <c r="S278" s="719">
        <v>0</v>
      </c>
      <c r="T278" s="510"/>
      <c r="U278" s="528"/>
    </row>
    <row r="279" spans="1:21">
      <c r="A279" s="735"/>
      <c r="B279" s="4" t="s">
        <v>67</v>
      </c>
      <c r="C279" s="506">
        <v>0.18645849373673534</v>
      </c>
      <c r="D279" s="508">
        <v>9.9032996861481037E-2</v>
      </c>
      <c r="E279" s="643">
        <v>0.24985420055864208</v>
      </c>
      <c r="F279" s="508">
        <v>0.10304837021531101</v>
      </c>
      <c r="G279" s="508">
        <v>0</v>
      </c>
      <c r="H279" s="508">
        <v>0</v>
      </c>
      <c r="I279" s="508">
        <v>9.6291974162160385E-2</v>
      </c>
      <c r="J279" s="509">
        <v>0.14806819664836024</v>
      </c>
      <c r="K279" s="506">
        <v>0</v>
      </c>
      <c r="L279" s="507">
        <v>0</v>
      </c>
      <c r="M279" s="507">
        <v>0</v>
      </c>
      <c r="N279" s="507">
        <v>0</v>
      </c>
      <c r="O279" s="506">
        <v>0</v>
      </c>
      <c r="P279" s="506">
        <v>0</v>
      </c>
      <c r="Q279" s="507">
        <v>0</v>
      </c>
      <c r="R279" s="507">
        <v>0</v>
      </c>
      <c r="S279" s="515">
        <v>0</v>
      </c>
      <c r="T279" s="536"/>
      <c r="U279" s="542"/>
    </row>
    <row r="280" spans="1:21">
      <c r="A280" s="735"/>
      <c r="B280" s="4" t="s">
        <v>69</v>
      </c>
      <c r="C280" s="506">
        <v>0.20012883541863943</v>
      </c>
      <c r="D280" s="508">
        <v>0.12481725868268205</v>
      </c>
      <c r="E280" s="643">
        <v>0.26516090043813267</v>
      </c>
      <c r="F280" s="508">
        <v>9.1069553568195807E-2</v>
      </c>
      <c r="G280" s="508">
        <v>0</v>
      </c>
      <c r="H280" s="508">
        <v>0</v>
      </c>
      <c r="I280" s="508">
        <v>5.9613861656517109E-2</v>
      </c>
      <c r="J280" s="509">
        <v>0.14524424029500604</v>
      </c>
      <c r="K280" s="506">
        <v>0</v>
      </c>
      <c r="L280" s="507">
        <v>0</v>
      </c>
      <c r="M280" s="507">
        <v>0</v>
      </c>
      <c r="N280" s="507">
        <v>0</v>
      </c>
      <c r="O280" s="506">
        <v>0</v>
      </c>
      <c r="P280" s="506">
        <v>0</v>
      </c>
      <c r="Q280" s="507">
        <v>0</v>
      </c>
      <c r="R280" s="507">
        <v>0</v>
      </c>
      <c r="S280" s="515">
        <v>0</v>
      </c>
      <c r="T280" s="543"/>
      <c r="U280" s="550"/>
    </row>
    <row r="281" spans="1:21" s="521" customFormat="1">
      <c r="A281" s="735"/>
      <c r="B281" s="4" t="s">
        <v>93</v>
      </c>
      <c r="C281" s="649">
        <v>1.367034168190409</v>
      </c>
      <c r="D281" s="676">
        <v>2.5784261821201011</v>
      </c>
      <c r="E281" s="723">
        <v>1.53066998794906</v>
      </c>
      <c r="F281" s="676">
        <v>-1.1978816647115198</v>
      </c>
      <c r="G281" s="676">
        <v>0</v>
      </c>
      <c r="H281" s="676">
        <v>0</v>
      </c>
      <c r="I281" s="676">
        <v>-3.6678112505643274</v>
      </c>
      <c r="J281" s="680">
        <v>-0.28239563533541956</v>
      </c>
      <c r="K281" s="649">
        <v>0</v>
      </c>
      <c r="L281" s="650">
        <v>0</v>
      </c>
      <c r="M281" s="650">
        <v>0</v>
      </c>
      <c r="N281" s="650">
        <v>0</v>
      </c>
      <c r="O281" s="649">
        <v>0</v>
      </c>
      <c r="P281" s="649">
        <v>0</v>
      </c>
      <c r="Q281" s="650">
        <v>0</v>
      </c>
      <c r="R281" s="650">
        <v>0</v>
      </c>
      <c r="S281" s="719">
        <v>0</v>
      </c>
      <c r="T281" s="510"/>
      <c r="U281" s="528"/>
    </row>
    <row r="282" spans="1:21">
      <c r="A282" s="735"/>
      <c r="B282" s="4" t="s">
        <v>71</v>
      </c>
      <c r="C282" s="506">
        <v>2.1651948608423774E-2</v>
      </c>
      <c r="D282" s="508">
        <v>0.12969717533293748</v>
      </c>
      <c r="E282" s="508">
        <v>4.9587157371312807E-2</v>
      </c>
      <c r="F282" s="508">
        <v>9.7861842105263164E-2</v>
      </c>
      <c r="G282" s="508">
        <v>0</v>
      </c>
      <c r="H282" s="508">
        <v>0</v>
      </c>
      <c r="I282" s="508">
        <v>0.9037080258378396</v>
      </c>
      <c r="J282" s="509">
        <v>0.27804104721092482</v>
      </c>
      <c r="K282" s="506">
        <v>0</v>
      </c>
      <c r="L282" s="507">
        <v>0</v>
      </c>
      <c r="M282" s="507">
        <v>0</v>
      </c>
      <c r="N282" s="507">
        <v>0</v>
      </c>
      <c r="O282" s="506">
        <v>0</v>
      </c>
      <c r="P282" s="506">
        <v>0</v>
      </c>
      <c r="Q282" s="507">
        <v>0</v>
      </c>
      <c r="R282" s="507">
        <v>0</v>
      </c>
      <c r="S282" s="515">
        <v>0</v>
      </c>
      <c r="T282" s="536"/>
      <c r="U282" s="542"/>
    </row>
    <row r="283" spans="1:21">
      <c r="A283" s="735"/>
      <c r="B283" s="4" t="s">
        <v>73</v>
      </c>
      <c r="C283" s="506">
        <v>2.0802042529143548E-2</v>
      </c>
      <c r="D283" s="508">
        <v>0.13761902880398277</v>
      </c>
      <c r="E283" s="508">
        <v>5.5159389635896658E-2</v>
      </c>
      <c r="F283" s="508">
        <v>0.1085937217133133</v>
      </c>
      <c r="G283" s="508">
        <v>0</v>
      </c>
      <c r="H283" s="508">
        <v>0</v>
      </c>
      <c r="I283" s="691">
        <v>0.94038613834348295</v>
      </c>
      <c r="J283" s="509">
        <v>0.27185731773409283</v>
      </c>
      <c r="K283" s="506">
        <v>0</v>
      </c>
      <c r="L283" s="507">
        <v>0</v>
      </c>
      <c r="M283" s="507">
        <v>0</v>
      </c>
      <c r="N283" s="507">
        <v>0</v>
      </c>
      <c r="O283" s="506">
        <v>0</v>
      </c>
      <c r="P283" s="506">
        <v>0</v>
      </c>
      <c r="Q283" s="507">
        <v>0</v>
      </c>
      <c r="R283" s="507">
        <v>0</v>
      </c>
      <c r="S283" s="515">
        <v>0</v>
      </c>
      <c r="T283" s="543"/>
      <c r="U283" s="550"/>
    </row>
    <row r="284" spans="1:21" s="521" customFormat="1">
      <c r="A284" s="735"/>
      <c r="B284" s="4" t="s">
        <v>99</v>
      </c>
      <c r="C284" s="649">
        <v>-8.4990607928022571E-2</v>
      </c>
      <c r="D284" s="676">
        <v>0.79218534710452926</v>
      </c>
      <c r="E284" s="676">
        <v>0.55722322645838518</v>
      </c>
      <c r="F284" s="676">
        <v>1.0731879608050137</v>
      </c>
      <c r="G284" s="676">
        <v>0</v>
      </c>
      <c r="H284" s="676">
        <v>0</v>
      </c>
      <c r="I284" s="676">
        <v>3.6678112505643345</v>
      </c>
      <c r="J284" s="680">
        <v>-0.61837294768319895</v>
      </c>
      <c r="K284" s="649">
        <v>0</v>
      </c>
      <c r="L284" s="650">
        <v>0</v>
      </c>
      <c r="M284" s="650">
        <v>0</v>
      </c>
      <c r="N284" s="650">
        <v>0</v>
      </c>
      <c r="O284" s="649">
        <v>0</v>
      </c>
      <c r="P284" s="649">
        <v>0</v>
      </c>
      <c r="Q284" s="650">
        <v>0</v>
      </c>
      <c r="R284" s="650">
        <v>0</v>
      </c>
      <c r="S284" s="719">
        <v>0</v>
      </c>
      <c r="T284" s="510"/>
      <c r="U284" s="528"/>
    </row>
    <row r="285" spans="1:21">
      <c r="A285" s="735"/>
      <c r="B285" s="4" t="s">
        <v>75</v>
      </c>
      <c r="C285" s="506">
        <v>5.5703219672877486E-3</v>
      </c>
      <c r="D285" s="508">
        <v>0</v>
      </c>
      <c r="E285" s="508">
        <v>0</v>
      </c>
      <c r="F285" s="508">
        <v>4.7659988038277513E-3</v>
      </c>
      <c r="G285" s="508">
        <v>0</v>
      </c>
      <c r="H285" s="508">
        <v>0</v>
      </c>
      <c r="I285" s="508">
        <v>0</v>
      </c>
      <c r="J285" s="509">
        <v>2.8711225404513779E-3</v>
      </c>
      <c r="K285" s="506">
        <v>0</v>
      </c>
      <c r="L285" s="507">
        <v>0</v>
      </c>
      <c r="M285" s="507">
        <v>0</v>
      </c>
      <c r="N285" s="507">
        <v>0</v>
      </c>
      <c r="O285" s="506">
        <v>0</v>
      </c>
      <c r="P285" s="506">
        <v>0</v>
      </c>
      <c r="Q285" s="507">
        <v>0</v>
      </c>
      <c r="R285" s="507">
        <v>0</v>
      </c>
      <c r="S285" s="515">
        <v>0</v>
      </c>
      <c r="T285" s="536"/>
      <c r="U285" s="542"/>
    </row>
    <row r="286" spans="1:21">
      <c r="A286" s="735"/>
      <c r="B286" s="4" t="s">
        <v>77</v>
      </c>
      <c r="C286" s="506">
        <v>4.958313500639972E-3</v>
      </c>
      <c r="D286" s="669">
        <v>0</v>
      </c>
      <c r="E286" s="508">
        <v>0</v>
      </c>
      <c r="F286" s="508">
        <v>5.6573373402367937E-3</v>
      </c>
      <c r="G286" s="508">
        <v>0</v>
      </c>
      <c r="H286" s="508">
        <v>0</v>
      </c>
      <c r="I286" s="508">
        <v>0</v>
      </c>
      <c r="J286" s="509">
        <v>2.9496273171872641E-3</v>
      </c>
      <c r="K286" s="506">
        <v>0</v>
      </c>
      <c r="L286" s="507">
        <v>0</v>
      </c>
      <c r="M286" s="507">
        <v>0</v>
      </c>
      <c r="N286" s="507">
        <v>0</v>
      </c>
      <c r="O286" s="506">
        <v>0</v>
      </c>
      <c r="P286" s="506">
        <v>0</v>
      </c>
      <c r="Q286" s="507">
        <v>0</v>
      </c>
      <c r="R286" s="507">
        <v>0</v>
      </c>
      <c r="S286" s="515">
        <v>0</v>
      </c>
      <c r="T286" s="543"/>
      <c r="U286" s="550"/>
    </row>
    <row r="287" spans="1:21" s="521" customFormat="1">
      <c r="A287" s="735"/>
      <c r="B287" s="4" t="s">
        <v>101</v>
      </c>
      <c r="C287" s="649">
        <v>-6.1200846664777667E-2</v>
      </c>
      <c r="D287" s="676">
        <v>0</v>
      </c>
      <c r="E287" s="676">
        <v>0</v>
      </c>
      <c r="F287" s="676">
        <v>8.9133853640904231E-2</v>
      </c>
      <c r="G287" s="676">
        <v>0</v>
      </c>
      <c r="H287" s="676">
        <v>0</v>
      </c>
      <c r="I287" s="676">
        <v>0</v>
      </c>
      <c r="J287" s="680">
        <v>7.8504776735886187E-3</v>
      </c>
      <c r="K287" s="649">
        <v>0</v>
      </c>
      <c r="L287" s="650">
        <v>0</v>
      </c>
      <c r="M287" s="650">
        <v>0</v>
      </c>
      <c r="N287" s="650">
        <v>0</v>
      </c>
      <c r="O287" s="649">
        <v>0</v>
      </c>
      <c r="P287" s="649">
        <v>0</v>
      </c>
      <c r="Q287" s="650">
        <v>0</v>
      </c>
      <c r="R287" s="650">
        <v>0</v>
      </c>
      <c r="S287" s="719">
        <v>0</v>
      </c>
      <c r="T287" s="510"/>
      <c r="U287" s="528"/>
    </row>
    <row r="288" spans="1:21">
      <c r="A288" s="735"/>
      <c r="B288" s="4" t="s">
        <v>79</v>
      </c>
      <c r="C288" s="506">
        <v>0</v>
      </c>
      <c r="D288" s="508">
        <v>0</v>
      </c>
      <c r="E288" s="508">
        <v>0</v>
      </c>
      <c r="F288" s="508">
        <v>0</v>
      </c>
      <c r="G288" s="508">
        <v>0</v>
      </c>
      <c r="H288" s="508">
        <v>0</v>
      </c>
      <c r="I288" s="508">
        <v>0</v>
      </c>
      <c r="J288" s="509">
        <v>0</v>
      </c>
      <c r="K288" s="506">
        <v>0</v>
      </c>
      <c r="L288" s="507">
        <v>0</v>
      </c>
      <c r="M288" s="507">
        <v>0</v>
      </c>
      <c r="N288" s="507">
        <v>0</v>
      </c>
      <c r="O288" s="506">
        <v>0</v>
      </c>
      <c r="P288" s="506">
        <v>0</v>
      </c>
      <c r="Q288" s="507">
        <v>0</v>
      </c>
      <c r="R288" s="507">
        <v>0</v>
      </c>
      <c r="S288" s="515">
        <v>0</v>
      </c>
      <c r="T288" s="536"/>
      <c r="U288" s="542"/>
    </row>
    <row r="289" spans="1:21">
      <c r="A289" s="735"/>
      <c r="B289" s="4" t="s">
        <v>81</v>
      </c>
      <c r="C289" s="506">
        <v>0</v>
      </c>
      <c r="D289" s="508">
        <v>0</v>
      </c>
      <c r="E289" s="508">
        <v>0</v>
      </c>
      <c r="F289" s="508">
        <v>0</v>
      </c>
      <c r="G289" s="508">
        <v>0</v>
      </c>
      <c r="H289" s="508">
        <v>0</v>
      </c>
      <c r="I289" s="508">
        <v>0</v>
      </c>
      <c r="J289" s="509">
        <v>0</v>
      </c>
      <c r="K289" s="506">
        <v>0</v>
      </c>
      <c r="L289" s="507">
        <v>0</v>
      </c>
      <c r="M289" s="507">
        <v>0</v>
      </c>
      <c r="N289" s="507">
        <v>0</v>
      </c>
      <c r="O289" s="506">
        <v>0</v>
      </c>
      <c r="P289" s="506">
        <v>0</v>
      </c>
      <c r="Q289" s="507">
        <v>0</v>
      </c>
      <c r="R289" s="507">
        <v>0</v>
      </c>
      <c r="S289" s="515">
        <v>0</v>
      </c>
      <c r="T289" s="543"/>
      <c r="U289" s="550"/>
    </row>
    <row r="290" spans="1:21" s="521" customFormat="1">
      <c r="A290" s="735"/>
      <c r="B290" s="4" t="s">
        <v>107</v>
      </c>
      <c r="C290" s="649">
        <v>0</v>
      </c>
      <c r="D290" s="676">
        <v>0</v>
      </c>
      <c r="E290" s="676">
        <v>0</v>
      </c>
      <c r="F290" s="676">
        <v>0</v>
      </c>
      <c r="G290" s="676">
        <v>0</v>
      </c>
      <c r="H290" s="676">
        <v>0</v>
      </c>
      <c r="I290" s="676">
        <v>0</v>
      </c>
      <c r="J290" s="680">
        <v>0</v>
      </c>
      <c r="K290" s="649">
        <v>0</v>
      </c>
      <c r="L290" s="650">
        <v>0</v>
      </c>
      <c r="M290" s="650">
        <v>0</v>
      </c>
      <c r="N290" s="650">
        <v>0</v>
      </c>
      <c r="O290" s="649">
        <v>0</v>
      </c>
      <c r="P290" s="649">
        <v>0</v>
      </c>
      <c r="Q290" s="650">
        <v>0</v>
      </c>
      <c r="R290" s="650">
        <v>0</v>
      </c>
      <c r="S290" s="719">
        <v>0</v>
      </c>
      <c r="T290" s="551"/>
      <c r="U290" s="554"/>
    </row>
    <row r="291" spans="1:21">
      <c r="A291" s="735"/>
      <c r="B291" s="4" t="s">
        <v>83</v>
      </c>
      <c r="C291" s="506">
        <v>0</v>
      </c>
      <c r="D291" s="508">
        <v>0</v>
      </c>
      <c r="E291" s="508">
        <v>0</v>
      </c>
      <c r="F291" s="508">
        <v>0</v>
      </c>
      <c r="G291" s="508">
        <v>0</v>
      </c>
      <c r="H291" s="508">
        <v>0</v>
      </c>
      <c r="I291" s="508">
        <v>0</v>
      </c>
      <c r="J291" s="509">
        <v>0</v>
      </c>
      <c r="K291" s="506">
        <v>0</v>
      </c>
      <c r="L291" s="507">
        <v>0</v>
      </c>
      <c r="M291" s="507">
        <v>0</v>
      </c>
      <c r="N291" s="507">
        <v>0</v>
      </c>
      <c r="O291" s="506">
        <v>0</v>
      </c>
      <c r="P291" s="506">
        <v>0</v>
      </c>
      <c r="Q291" s="507">
        <v>0</v>
      </c>
      <c r="R291" s="507">
        <v>0</v>
      </c>
      <c r="S291" s="515">
        <v>0</v>
      </c>
      <c r="T291" s="506"/>
      <c r="U291" s="527"/>
    </row>
    <row r="292" spans="1:21">
      <c r="A292" s="735"/>
      <c r="B292" s="4" t="s">
        <v>85</v>
      </c>
      <c r="C292" s="506">
        <v>0</v>
      </c>
      <c r="D292" s="508">
        <v>0</v>
      </c>
      <c r="E292" s="508">
        <v>0</v>
      </c>
      <c r="F292" s="508">
        <v>0</v>
      </c>
      <c r="G292" s="508">
        <v>0</v>
      </c>
      <c r="H292" s="508">
        <v>0</v>
      </c>
      <c r="I292" s="508">
        <v>0</v>
      </c>
      <c r="J292" s="509">
        <v>0</v>
      </c>
      <c r="K292" s="506">
        <v>0</v>
      </c>
      <c r="L292" s="507">
        <v>0</v>
      </c>
      <c r="M292" s="507">
        <v>0</v>
      </c>
      <c r="N292" s="507">
        <v>0</v>
      </c>
      <c r="O292" s="506">
        <v>0</v>
      </c>
      <c r="P292" s="506">
        <v>0</v>
      </c>
      <c r="Q292" s="507">
        <v>0</v>
      </c>
      <c r="R292" s="507">
        <v>0</v>
      </c>
      <c r="S292" s="515">
        <v>0</v>
      </c>
      <c r="T292" s="506"/>
      <c r="U292" s="527"/>
    </row>
    <row r="293" spans="1:21" s="521" customFormat="1">
      <c r="A293" s="736"/>
      <c r="B293" s="649" t="s">
        <v>109</v>
      </c>
      <c r="C293" s="649">
        <v>0</v>
      </c>
      <c r="D293" s="676">
        <v>0</v>
      </c>
      <c r="E293" s="676">
        <v>0</v>
      </c>
      <c r="F293" s="676">
        <v>0</v>
      </c>
      <c r="G293" s="676">
        <v>0</v>
      </c>
      <c r="H293" s="676">
        <v>0</v>
      </c>
      <c r="I293" s="676">
        <v>0</v>
      </c>
      <c r="J293" s="680">
        <v>0</v>
      </c>
      <c r="K293" s="649">
        <v>0</v>
      </c>
      <c r="L293" s="650">
        <v>0</v>
      </c>
      <c r="M293" s="650">
        <v>0</v>
      </c>
      <c r="N293" s="650">
        <v>0</v>
      </c>
      <c r="O293" s="649">
        <v>0</v>
      </c>
      <c r="P293" s="649">
        <v>0</v>
      </c>
      <c r="Q293" s="650">
        <v>0</v>
      </c>
      <c r="R293" s="650">
        <v>0</v>
      </c>
      <c r="S293" s="719">
        <v>0</v>
      </c>
      <c r="T293" s="510"/>
      <c r="U293" s="528"/>
    </row>
    <row r="294" spans="1:21">
      <c r="A294" s="478" t="s">
        <v>200</v>
      </c>
      <c r="B294" s="3" t="s">
        <v>39</v>
      </c>
      <c r="C294" s="463">
        <v>0.86585353254332198</v>
      </c>
      <c r="D294" s="464">
        <v>0.9019276167121173</v>
      </c>
      <c r="E294" s="464">
        <v>0</v>
      </c>
      <c r="F294" s="464">
        <v>0.9300760107657271</v>
      </c>
      <c r="G294" s="464">
        <v>0.92066710219038395</v>
      </c>
      <c r="H294" s="464">
        <v>0</v>
      </c>
      <c r="I294" s="464">
        <v>0</v>
      </c>
      <c r="J294" s="466">
        <v>0.89058109935145868</v>
      </c>
      <c r="K294" s="463">
        <v>0</v>
      </c>
      <c r="L294" s="464">
        <v>0.89242141652696094</v>
      </c>
      <c r="M294" s="464">
        <v>0.86407008554475484</v>
      </c>
      <c r="N294" s="464">
        <v>0.87160861548436774</v>
      </c>
      <c r="O294" s="463">
        <v>0.8747760714121664</v>
      </c>
      <c r="P294" s="463">
        <v>0</v>
      </c>
      <c r="Q294" s="464">
        <v>0</v>
      </c>
      <c r="R294" s="464">
        <v>0</v>
      </c>
      <c r="S294" s="516">
        <v>0</v>
      </c>
      <c r="T294" s="536"/>
      <c r="U294" s="542"/>
    </row>
    <row r="295" spans="1:21">
      <c r="A295" s="479"/>
      <c r="B295" s="4" t="s">
        <v>41</v>
      </c>
      <c r="C295" s="506">
        <v>0.86401798346727565</v>
      </c>
      <c r="D295" s="508">
        <v>0.90428698478959291</v>
      </c>
      <c r="E295" s="508">
        <v>0</v>
      </c>
      <c r="F295" s="508">
        <v>0.92720819744987704</v>
      </c>
      <c r="G295" s="508">
        <v>0.87797808132147392</v>
      </c>
      <c r="H295" s="508">
        <v>0</v>
      </c>
      <c r="I295" s="508">
        <v>0</v>
      </c>
      <c r="J295" s="509">
        <v>0.88591500975797177</v>
      </c>
      <c r="K295" s="506">
        <v>0</v>
      </c>
      <c r="L295" s="688">
        <v>0.86937046685533292</v>
      </c>
      <c r="M295" s="688">
        <v>0.84486431913514193</v>
      </c>
      <c r="N295" s="688">
        <v>0.91642907672190188</v>
      </c>
      <c r="O295" s="689">
        <v>0.85758953207225141</v>
      </c>
      <c r="P295" s="506">
        <v>0</v>
      </c>
      <c r="Q295" s="507">
        <v>0</v>
      </c>
      <c r="R295" s="507">
        <v>0</v>
      </c>
      <c r="S295" s="515">
        <v>0</v>
      </c>
      <c r="T295" s="543"/>
      <c r="U295" s="550"/>
    </row>
    <row r="296" spans="1:21">
      <c r="A296" s="479"/>
      <c r="B296" s="505" t="s">
        <v>87</v>
      </c>
      <c r="C296" s="510">
        <v>-0.18355490760463278</v>
      </c>
      <c r="D296" s="512">
        <v>0.23593680774756098</v>
      </c>
      <c r="E296" s="512">
        <v>0</v>
      </c>
      <c r="F296" s="512">
        <v>-0.28678133158500652</v>
      </c>
      <c r="G296" s="512">
        <v>-4.2689020868910017</v>
      </c>
      <c r="H296" s="512">
        <v>0</v>
      </c>
      <c r="I296" s="512">
        <v>0</v>
      </c>
      <c r="J296" s="514">
        <v>-0.46660895934869107</v>
      </c>
      <c r="K296" s="510">
        <v>0</v>
      </c>
      <c r="L296" s="511">
        <v>-2.3050949671628018</v>
      </c>
      <c r="M296" s="511">
        <v>-1.9205766409612912</v>
      </c>
      <c r="N296" s="511">
        <v>4.4820461237534133</v>
      </c>
      <c r="O296" s="510">
        <v>-1.7186539339914986</v>
      </c>
      <c r="P296" s="510">
        <v>0</v>
      </c>
      <c r="Q296" s="511">
        <v>0</v>
      </c>
      <c r="R296" s="511">
        <v>0</v>
      </c>
      <c r="S296" s="517">
        <v>0</v>
      </c>
      <c r="T296" s="510"/>
      <c r="U296" s="528"/>
    </row>
    <row r="297" spans="1:21">
      <c r="A297" s="479"/>
      <c r="B297" s="4" t="s">
        <v>43</v>
      </c>
      <c r="C297" s="506">
        <v>7.2234529764162572E-2</v>
      </c>
      <c r="D297" s="508">
        <v>4.8583866186429112E-2</v>
      </c>
      <c r="E297" s="508">
        <v>0</v>
      </c>
      <c r="F297" s="508">
        <v>2.0780219455206885E-2</v>
      </c>
      <c r="G297" s="508">
        <v>3.5254894010047083E-2</v>
      </c>
      <c r="H297" s="508">
        <v>0</v>
      </c>
      <c r="I297" s="508">
        <v>0</v>
      </c>
      <c r="J297" s="509">
        <v>5.4887693558949659E-2</v>
      </c>
      <c r="K297" s="506">
        <v>0</v>
      </c>
      <c r="L297" s="507">
        <v>0</v>
      </c>
      <c r="M297" s="507">
        <v>0</v>
      </c>
      <c r="N297" s="507">
        <v>0</v>
      </c>
      <c r="O297" s="506">
        <v>0</v>
      </c>
      <c r="P297" s="506">
        <v>0</v>
      </c>
      <c r="Q297" s="507">
        <v>0</v>
      </c>
      <c r="R297" s="507">
        <v>0</v>
      </c>
      <c r="S297" s="515">
        <v>0</v>
      </c>
      <c r="T297" s="536"/>
      <c r="U297" s="542"/>
    </row>
    <row r="298" spans="1:21">
      <c r="A298" s="479"/>
      <c r="B298" s="4" t="s">
        <v>45</v>
      </c>
      <c r="C298" s="506">
        <v>7.1902268760907509E-2</v>
      </c>
      <c r="D298" s="508">
        <v>5.6402482570019861E-2</v>
      </c>
      <c r="E298" s="508">
        <v>0</v>
      </c>
      <c r="F298" s="508">
        <v>1.1580087257522362E-2</v>
      </c>
      <c r="G298" s="508">
        <v>2.7088627700127065E-2</v>
      </c>
      <c r="H298" s="508">
        <v>0</v>
      </c>
      <c r="I298" s="508">
        <v>0</v>
      </c>
      <c r="J298" s="509">
        <v>5.6361991887047741E-2</v>
      </c>
      <c r="K298" s="506">
        <v>0</v>
      </c>
      <c r="L298" s="507">
        <v>0</v>
      </c>
      <c r="M298" s="507">
        <v>0</v>
      </c>
      <c r="N298" s="507">
        <v>0</v>
      </c>
      <c r="O298" s="506">
        <v>0</v>
      </c>
      <c r="P298" s="506">
        <v>0</v>
      </c>
      <c r="Q298" s="507">
        <v>0</v>
      </c>
      <c r="R298" s="507">
        <v>0</v>
      </c>
      <c r="S298" s="515">
        <v>0</v>
      </c>
      <c r="T298" s="543"/>
      <c r="U298" s="550"/>
    </row>
    <row r="299" spans="1:21">
      <c r="A299" s="479"/>
      <c r="B299" s="4" t="s">
        <v>95</v>
      </c>
      <c r="C299" s="506">
        <v>-3.3226100325506325E-2</v>
      </c>
      <c r="D299" s="508">
        <v>0.78186163835907496</v>
      </c>
      <c r="E299" s="508">
        <v>0</v>
      </c>
      <c r="F299" s="508">
        <v>-0.92001321976845229</v>
      </c>
      <c r="G299" s="508">
        <v>-0.81662663099200183</v>
      </c>
      <c r="H299" s="508">
        <v>0</v>
      </c>
      <c r="I299" s="508">
        <v>0</v>
      </c>
      <c r="J299" s="509">
        <v>0.14742983280980823</v>
      </c>
      <c r="K299" s="506">
        <v>0</v>
      </c>
      <c r="L299" s="507">
        <v>0</v>
      </c>
      <c r="M299" s="507">
        <v>0</v>
      </c>
      <c r="N299" s="507">
        <v>0</v>
      </c>
      <c r="O299" s="506">
        <v>0</v>
      </c>
      <c r="P299" s="506">
        <v>0</v>
      </c>
      <c r="Q299" s="507">
        <v>0</v>
      </c>
      <c r="R299" s="507">
        <v>0</v>
      </c>
      <c r="S299" s="515">
        <v>0</v>
      </c>
      <c r="T299" s="510"/>
      <c r="U299" s="528"/>
    </row>
    <row r="300" spans="1:21">
      <c r="A300" s="479"/>
      <c r="B300" s="4" t="s">
        <v>49</v>
      </c>
      <c r="C300" s="506">
        <v>4.7766710009549213E-2</v>
      </c>
      <c r="D300" s="508">
        <v>3.3670209882750511E-2</v>
      </c>
      <c r="E300" s="508">
        <v>0</v>
      </c>
      <c r="F300" s="508">
        <v>4.535210434473988E-2</v>
      </c>
      <c r="G300" s="508">
        <v>3.3903268680588405E-2</v>
      </c>
      <c r="H300" s="508">
        <v>0</v>
      </c>
      <c r="I300" s="508">
        <v>0</v>
      </c>
      <c r="J300" s="509">
        <v>4.129961763525361E-2</v>
      </c>
      <c r="K300" s="506">
        <v>0</v>
      </c>
      <c r="L300" s="686">
        <v>0.10757858347303909</v>
      </c>
      <c r="M300" s="686">
        <v>0.13592991445524519</v>
      </c>
      <c r="N300" s="686">
        <v>0.12839138451563228</v>
      </c>
      <c r="O300" s="687">
        <v>0.1252239285878336</v>
      </c>
      <c r="P300" s="506">
        <v>0</v>
      </c>
      <c r="Q300" s="507">
        <v>0</v>
      </c>
      <c r="R300" s="507">
        <v>0</v>
      </c>
      <c r="S300" s="515">
        <v>0</v>
      </c>
      <c r="T300" s="536"/>
      <c r="U300" s="542"/>
    </row>
    <row r="301" spans="1:21">
      <c r="A301" s="479"/>
      <c r="B301" s="4" t="s">
        <v>51</v>
      </c>
      <c r="C301" s="506">
        <v>5.3890073901708573E-2</v>
      </c>
      <c r="D301" s="508">
        <v>2.2024334366150512E-2</v>
      </c>
      <c r="E301" s="508">
        <v>0</v>
      </c>
      <c r="F301" s="508">
        <v>5.9552946036793383E-2</v>
      </c>
      <c r="G301" s="508">
        <v>8.4037484116899624E-2</v>
      </c>
      <c r="H301" s="508">
        <v>0</v>
      </c>
      <c r="I301" s="508">
        <v>0</v>
      </c>
      <c r="J301" s="509">
        <v>4.5905931957639583E-2</v>
      </c>
      <c r="K301" s="506">
        <v>0</v>
      </c>
      <c r="L301" s="686">
        <v>0.13062953314466705</v>
      </c>
      <c r="M301" s="686">
        <v>0.1551356808648581</v>
      </c>
      <c r="N301" s="686">
        <v>8.3570923278098133E-2</v>
      </c>
      <c r="O301" s="687">
        <v>0.14241046792774853</v>
      </c>
      <c r="P301" s="506">
        <v>0</v>
      </c>
      <c r="Q301" s="507">
        <v>0</v>
      </c>
      <c r="R301" s="507">
        <v>0</v>
      </c>
      <c r="S301" s="515">
        <v>0</v>
      </c>
      <c r="T301" s="543"/>
      <c r="U301" s="550"/>
    </row>
    <row r="302" spans="1:21">
      <c r="A302" s="479"/>
      <c r="B302" s="4" t="s">
        <v>97</v>
      </c>
      <c r="C302" s="506">
        <v>0.61233638921593603</v>
      </c>
      <c r="D302" s="508">
        <v>-1.1645875516599999</v>
      </c>
      <c r="E302" s="508">
        <v>0</v>
      </c>
      <c r="F302" s="508">
        <v>1.4200841692053503</v>
      </c>
      <c r="G302" s="508">
        <v>5.0134215436311216</v>
      </c>
      <c r="H302" s="508">
        <v>0</v>
      </c>
      <c r="I302" s="508">
        <v>0</v>
      </c>
      <c r="J302" s="509">
        <v>0.46063143223859726</v>
      </c>
      <c r="K302" s="506">
        <v>0</v>
      </c>
      <c r="L302" s="688">
        <v>2.3050949671627965</v>
      </c>
      <c r="M302" s="688">
        <v>1.9205766409612912</v>
      </c>
      <c r="N302" s="688">
        <v>-4.482046123753415</v>
      </c>
      <c r="O302" s="689">
        <v>1.718653933991493</v>
      </c>
      <c r="P302" s="506">
        <v>0</v>
      </c>
      <c r="Q302" s="507">
        <v>0</v>
      </c>
      <c r="R302" s="507">
        <v>0</v>
      </c>
      <c r="S302" s="515">
        <v>0</v>
      </c>
      <c r="T302" s="510"/>
      <c r="U302" s="528"/>
    </row>
    <row r="303" spans="1:21">
      <c r="A303" s="479"/>
      <c r="B303" s="4" t="s">
        <v>53</v>
      </c>
      <c r="C303" s="506">
        <v>1.5393856921258134E-3</v>
      </c>
      <c r="D303" s="508">
        <v>1.5818307218703097E-2</v>
      </c>
      <c r="E303" s="508">
        <v>0</v>
      </c>
      <c r="F303" s="508">
        <v>0</v>
      </c>
      <c r="G303" s="508">
        <v>0</v>
      </c>
      <c r="H303" s="508">
        <v>0</v>
      </c>
      <c r="I303" s="508">
        <v>0</v>
      </c>
      <c r="J303" s="509">
        <v>6.2754821809578127E-3</v>
      </c>
      <c r="K303" s="506">
        <v>0</v>
      </c>
      <c r="L303" s="507">
        <v>0</v>
      </c>
      <c r="M303" s="507">
        <v>0</v>
      </c>
      <c r="N303" s="507">
        <v>0</v>
      </c>
      <c r="O303" s="506">
        <v>0</v>
      </c>
      <c r="P303" s="506">
        <v>0</v>
      </c>
      <c r="Q303" s="507">
        <v>0</v>
      </c>
      <c r="R303" s="507">
        <v>0</v>
      </c>
      <c r="S303" s="515">
        <v>0</v>
      </c>
      <c r="T303" s="536"/>
      <c r="U303" s="542"/>
    </row>
    <row r="304" spans="1:21">
      <c r="A304" s="479"/>
      <c r="B304" s="4" t="s">
        <v>55</v>
      </c>
      <c r="C304" s="506">
        <v>1.5426712343524444E-3</v>
      </c>
      <c r="D304" s="508">
        <v>1.7274771901024756E-2</v>
      </c>
      <c r="E304" s="508">
        <v>0</v>
      </c>
      <c r="F304" s="669">
        <v>2.190827318990717E-4</v>
      </c>
      <c r="G304" s="508">
        <v>0</v>
      </c>
      <c r="H304" s="508">
        <v>0</v>
      </c>
      <c r="I304" s="508">
        <v>0</v>
      </c>
      <c r="J304" s="509">
        <v>6.7552636974915941E-3</v>
      </c>
      <c r="K304" s="506">
        <v>0</v>
      </c>
      <c r="L304" s="507">
        <v>0</v>
      </c>
      <c r="M304" s="507">
        <v>0</v>
      </c>
      <c r="N304" s="507">
        <v>0</v>
      </c>
      <c r="O304" s="506">
        <v>0</v>
      </c>
      <c r="P304" s="506">
        <v>0</v>
      </c>
      <c r="Q304" s="507">
        <v>0</v>
      </c>
      <c r="R304" s="507">
        <v>0</v>
      </c>
      <c r="S304" s="515">
        <v>0</v>
      </c>
      <c r="T304" s="543"/>
      <c r="U304" s="550"/>
    </row>
    <row r="305" spans="1:21">
      <c r="A305" s="479"/>
      <c r="B305" s="4" t="s">
        <v>103</v>
      </c>
      <c r="C305" s="506">
        <v>3.2855422266310063E-4</v>
      </c>
      <c r="D305" s="508">
        <v>0.14564646823216587</v>
      </c>
      <c r="E305" s="508">
        <v>0</v>
      </c>
      <c r="F305" s="508">
        <v>0</v>
      </c>
      <c r="G305" s="508">
        <v>0</v>
      </c>
      <c r="H305" s="508">
        <v>0</v>
      </c>
      <c r="I305" s="508">
        <v>0</v>
      </c>
      <c r="J305" s="509">
        <v>4.7978151653378133E-2</v>
      </c>
      <c r="K305" s="506">
        <v>0</v>
      </c>
      <c r="L305" s="507">
        <v>0</v>
      </c>
      <c r="M305" s="507">
        <v>0</v>
      </c>
      <c r="N305" s="507">
        <v>0</v>
      </c>
      <c r="O305" s="506">
        <v>0</v>
      </c>
      <c r="P305" s="506">
        <v>0</v>
      </c>
      <c r="Q305" s="507">
        <v>0</v>
      </c>
      <c r="R305" s="507">
        <v>0</v>
      </c>
      <c r="S305" s="515">
        <v>0</v>
      </c>
      <c r="T305" s="510"/>
      <c r="U305" s="528"/>
    </row>
    <row r="306" spans="1:21">
      <c r="A306" s="479"/>
      <c r="B306" s="4" t="s">
        <v>57</v>
      </c>
      <c r="C306" s="617">
        <v>8.8643820392211269E-3</v>
      </c>
      <c r="D306" s="675">
        <v>0</v>
      </c>
      <c r="E306" s="508">
        <v>0</v>
      </c>
      <c r="F306" s="669">
        <v>3.7916654343261068E-3</v>
      </c>
      <c r="G306" s="508">
        <v>3.7770418928761837E-3</v>
      </c>
      <c r="H306" s="508">
        <v>0</v>
      </c>
      <c r="I306" s="508">
        <v>0</v>
      </c>
      <c r="J306" s="509">
        <v>4.7201449183513957E-3</v>
      </c>
      <c r="K306" s="506">
        <v>0</v>
      </c>
      <c r="L306" s="507">
        <v>0</v>
      </c>
      <c r="M306" s="507">
        <v>0</v>
      </c>
      <c r="N306" s="507">
        <v>0</v>
      </c>
      <c r="O306" s="506">
        <v>0</v>
      </c>
      <c r="P306" s="506">
        <v>0</v>
      </c>
      <c r="Q306" s="507">
        <v>0</v>
      </c>
      <c r="R306" s="507">
        <v>0</v>
      </c>
      <c r="S306" s="515">
        <v>0</v>
      </c>
      <c r="T306" s="536"/>
      <c r="U306" s="542"/>
    </row>
    <row r="307" spans="1:21">
      <c r="A307" s="479"/>
      <c r="B307" s="4" t="s">
        <v>59</v>
      </c>
      <c r="C307" s="617">
        <v>5.2729479528005807E-3</v>
      </c>
      <c r="D307" s="508">
        <v>0</v>
      </c>
      <c r="E307" s="508">
        <v>0</v>
      </c>
      <c r="F307" s="508">
        <v>1.4396865239081856E-3</v>
      </c>
      <c r="G307" s="508">
        <v>2.8192503176620075E-3</v>
      </c>
      <c r="H307" s="508">
        <v>0</v>
      </c>
      <c r="I307" s="508">
        <v>0</v>
      </c>
      <c r="J307" s="509">
        <v>2.8242045477921635E-3</v>
      </c>
      <c r="K307" s="506">
        <v>0</v>
      </c>
      <c r="L307" s="507">
        <v>0</v>
      </c>
      <c r="M307" s="507">
        <v>0</v>
      </c>
      <c r="N307" s="507">
        <v>0</v>
      </c>
      <c r="O307" s="506">
        <v>0</v>
      </c>
      <c r="P307" s="506">
        <v>0</v>
      </c>
      <c r="Q307" s="507">
        <v>0</v>
      </c>
      <c r="R307" s="507">
        <v>0</v>
      </c>
      <c r="S307" s="515">
        <v>0</v>
      </c>
      <c r="T307" s="543"/>
      <c r="U307" s="550"/>
    </row>
    <row r="308" spans="1:21">
      <c r="A308" s="479"/>
      <c r="B308" s="4" t="s">
        <v>105</v>
      </c>
      <c r="C308" s="506">
        <v>-0.35914340864205463</v>
      </c>
      <c r="D308" s="508">
        <v>0</v>
      </c>
      <c r="E308" s="508">
        <v>0</v>
      </c>
      <c r="F308" s="508">
        <v>-0.23519789104179209</v>
      </c>
      <c r="G308" s="508">
        <v>-9.5779157521417607E-2</v>
      </c>
      <c r="H308" s="508">
        <v>0</v>
      </c>
      <c r="I308" s="508">
        <v>0</v>
      </c>
      <c r="J308" s="509">
        <v>-0.18959403705592323</v>
      </c>
      <c r="K308" s="506">
        <v>0</v>
      </c>
      <c r="L308" s="507">
        <v>0</v>
      </c>
      <c r="M308" s="507">
        <v>0</v>
      </c>
      <c r="N308" s="507">
        <v>0</v>
      </c>
      <c r="O308" s="506">
        <v>0</v>
      </c>
      <c r="P308" s="506">
        <v>0</v>
      </c>
      <c r="Q308" s="507">
        <v>0</v>
      </c>
      <c r="R308" s="507">
        <v>0</v>
      </c>
      <c r="S308" s="515">
        <v>0</v>
      </c>
      <c r="T308" s="510"/>
      <c r="U308" s="528"/>
    </row>
    <row r="309" spans="1:21">
      <c r="A309" s="479"/>
      <c r="B309" s="4" t="s">
        <v>61</v>
      </c>
      <c r="C309" s="506">
        <v>3.7414599516193067E-3</v>
      </c>
      <c r="D309" s="508">
        <v>0</v>
      </c>
      <c r="E309" s="508">
        <v>0</v>
      </c>
      <c r="F309" s="508">
        <v>0</v>
      </c>
      <c r="G309" s="508">
        <v>6.3976932261043907E-3</v>
      </c>
      <c r="H309" s="508">
        <v>0</v>
      </c>
      <c r="I309" s="508">
        <v>0</v>
      </c>
      <c r="J309" s="509">
        <v>2.2359623550288359E-3</v>
      </c>
      <c r="K309" s="506">
        <v>0</v>
      </c>
      <c r="L309" s="507">
        <v>0</v>
      </c>
      <c r="M309" s="507">
        <v>0</v>
      </c>
      <c r="N309" s="507">
        <v>0</v>
      </c>
      <c r="O309" s="506">
        <v>0</v>
      </c>
      <c r="P309" s="506">
        <v>0</v>
      </c>
      <c r="Q309" s="507">
        <v>0</v>
      </c>
      <c r="R309" s="507">
        <v>0</v>
      </c>
      <c r="S309" s="515">
        <v>0</v>
      </c>
      <c r="T309" s="536"/>
      <c r="U309" s="542"/>
    </row>
    <row r="310" spans="1:21">
      <c r="A310" s="479"/>
      <c r="B310" s="4" t="s">
        <v>63</v>
      </c>
      <c r="C310" s="506">
        <v>3.3740546829552063E-3</v>
      </c>
      <c r="D310" s="508">
        <v>1.1426373212010641E-5</v>
      </c>
      <c r="E310" s="508">
        <v>0</v>
      </c>
      <c r="F310" s="508">
        <v>0</v>
      </c>
      <c r="G310" s="508">
        <v>8.0765565438373575E-3</v>
      </c>
      <c r="H310" s="508">
        <v>0</v>
      </c>
      <c r="I310" s="508">
        <v>0</v>
      </c>
      <c r="J310" s="509">
        <v>2.2375981520571372E-3</v>
      </c>
      <c r="K310" s="506">
        <v>0</v>
      </c>
      <c r="L310" s="507">
        <v>0</v>
      </c>
      <c r="M310" s="507">
        <v>0</v>
      </c>
      <c r="N310" s="507">
        <v>0</v>
      </c>
      <c r="O310" s="506">
        <v>0</v>
      </c>
      <c r="P310" s="506">
        <v>0</v>
      </c>
      <c r="Q310" s="507">
        <v>0</v>
      </c>
      <c r="R310" s="507">
        <v>0</v>
      </c>
      <c r="S310" s="515">
        <v>0</v>
      </c>
      <c r="T310" s="543"/>
      <c r="U310" s="550"/>
    </row>
    <row r="311" spans="1:21">
      <c r="A311" s="479"/>
      <c r="B311" s="4" t="s">
        <v>91</v>
      </c>
      <c r="C311" s="506">
        <v>-3.6740526866410043E-2</v>
      </c>
      <c r="D311" s="508">
        <v>0</v>
      </c>
      <c r="E311" s="508">
        <v>0</v>
      </c>
      <c r="F311" s="508">
        <v>0</v>
      </c>
      <c r="G311" s="508">
        <v>0.16788633177329668</v>
      </c>
      <c r="H311" s="508">
        <v>0</v>
      </c>
      <c r="I311" s="508">
        <v>0</v>
      </c>
      <c r="J311" s="509">
        <v>1.635797028301262E-4</v>
      </c>
      <c r="K311" s="506">
        <v>0</v>
      </c>
      <c r="L311" s="507">
        <v>0</v>
      </c>
      <c r="M311" s="507">
        <v>0</v>
      </c>
      <c r="N311" s="507">
        <v>0</v>
      </c>
      <c r="O311" s="506">
        <v>0</v>
      </c>
      <c r="P311" s="506">
        <v>0</v>
      </c>
      <c r="Q311" s="507">
        <v>0</v>
      </c>
      <c r="R311" s="507">
        <v>0</v>
      </c>
      <c r="S311" s="515">
        <v>0</v>
      </c>
      <c r="T311" s="510"/>
      <c r="U311" s="528"/>
    </row>
    <row r="312" spans="1:21">
      <c r="A312" s="479"/>
      <c r="B312" s="4" t="s">
        <v>47</v>
      </c>
      <c r="C312" s="506">
        <v>0.75225928962927802</v>
      </c>
      <c r="D312" s="508">
        <v>0.86448089960434071</v>
      </c>
      <c r="E312" s="508">
        <v>0</v>
      </c>
      <c r="F312" s="508">
        <v>0.8963212126373159</v>
      </c>
      <c r="G312" s="508">
        <v>0.75639870223503969</v>
      </c>
      <c r="H312" s="508">
        <v>0</v>
      </c>
      <c r="I312" s="508">
        <v>0</v>
      </c>
      <c r="J312" s="509">
        <v>0.80768759894459108</v>
      </c>
      <c r="K312" s="506">
        <v>0</v>
      </c>
      <c r="L312" s="507">
        <v>0</v>
      </c>
      <c r="M312" s="507">
        <v>0</v>
      </c>
      <c r="N312" s="507">
        <v>0</v>
      </c>
      <c r="O312" s="506">
        <v>0</v>
      </c>
      <c r="P312" s="506">
        <v>0</v>
      </c>
      <c r="Q312" s="507">
        <v>0</v>
      </c>
      <c r="R312" s="507">
        <v>0</v>
      </c>
      <c r="S312" s="515">
        <v>0</v>
      </c>
      <c r="T312" s="536"/>
      <c r="U312" s="542"/>
    </row>
    <row r="313" spans="1:21">
      <c r="A313" s="479"/>
      <c r="B313" s="4" t="s">
        <v>65</v>
      </c>
      <c r="C313" s="506">
        <v>0.72481786777029111</v>
      </c>
      <c r="D313" s="508">
        <v>0.85268443042394615</v>
      </c>
      <c r="E313" s="508">
        <v>0</v>
      </c>
      <c r="F313" s="508">
        <v>0.71045643153526972</v>
      </c>
      <c r="G313" s="508">
        <v>0.75324939073923636</v>
      </c>
      <c r="H313" s="508">
        <v>0</v>
      </c>
      <c r="I313" s="508">
        <v>0</v>
      </c>
      <c r="J313" s="509">
        <v>0.76992848868770547</v>
      </c>
      <c r="K313" s="506">
        <v>0</v>
      </c>
      <c r="L313" s="507">
        <v>0</v>
      </c>
      <c r="M313" s="507">
        <v>0</v>
      </c>
      <c r="N313" s="507">
        <v>0</v>
      </c>
      <c r="O313" s="506">
        <v>0</v>
      </c>
      <c r="P313" s="506">
        <v>0</v>
      </c>
      <c r="Q313" s="507">
        <v>0</v>
      </c>
      <c r="R313" s="507">
        <v>0</v>
      </c>
      <c r="S313" s="515">
        <v>0</v>
      </c>
      <c r="T313" s="543"/>
      <c r="U313" s="550"/>
    </row>
    <row r="314" spans="1:21" ht="13.5" thickBot="1">
      <c r="A314" s="479"/>
      <c r="B314" s="4" t="s">
        <v>89</v>
      </c>
      <c r="C314" s="506">
        <v>-2.7441421858986903</v>
      </c>
      <c r="D314" s="508">
        <v>-1.1796469180394564</v>
      </c>
      <c r="E314" s="508">
        <v>0</v>
      </c>
      <c r="F314" s="508">
        <v>-18.586478110204617</v>
      </c>
      <c r="G314" s="508">
        <v>-0.31493114958033308</v>
      </c>
      <c r="H314" s="508">
        <v>0</v>
      </c>
      <c r="I314" s="508">
        <v>0</v>
      </c>
      <c r="J314" s="509">
        <v>-3.7759110256885609</v>
      </c>
      <c r="K314" s="506">
        <v>0</v>
      </c>
      <c r="L314" s="507">
        <v>0</v>
      </c>
      <c r="M314" s="507">
        <v>0</v>
      </c>
      <c r="N314" s="507">
        <v>0</v>
      </c>
      <c r="O314" s="506">
        <v>0</v>
      </c>
      <c r="P314" s="506">
        <v>0</v>
      </c>
      <c r="Q314" s="507">
        <v>0</v>
      </c>
      <c r="R314" s="507">
        <v>0</v>
      </c>
      <c r="S314" s="515">
        <v>0</v>
      </c>
      <c r="T314" s="510"/>
      <c r="U314" s="528"/>
    </row>
    <row r="315" spans="1:21">
      <c r="A315" s="479"/>
      <c r="B315" s="4" t="s">
        <v>67</v>
      </c>
      <c r="C315" s="506">
        <v>9.6025203918691474E-2</v>
      </c>
      <c r="D315" s="508">
        <v>0.10324162983872834</v>
      </c>
      <c r="E315" s="618">
        <v>0</v>
      </c>
      <c r="F315" s="508">
        <v>4.1769564847142976E-2</v>
      </c>
      <c r="G315" s="508">
        <v>0.17087238644556596</v>
      </c>
      <c r="H315" s="508">
        <v>0</v>
      </c>
      <c r="I315" s="508">
        <v>0</v>
      </c>
      <c r="J315" s="509">
        <v>9.6785224274406334E-2</v>
      </c>
      <c r="K315" s="506">
        <v>0</v>
      </c>
      <c r="L315" s="507">
        <v>0</v>
      </c>
      <c r="M315" s="507">
        <v>0</v>
      </c>
      <c r="N315" s="507">
        <v>0</v>
      </c>
      <c r="O315" s="506">
        <v>0</v>
      </c>
      <c r="P315" s="506">
        <v>0</v>
      </c>
      <c r="Q315" s="507">
        <v>0</v>
      </c>
      <c r="R315" s="507">
        <v>0</v>
      </c>
      <c r="S315" s="515">
        <v>0</v>
      </c>
      <c r="T315" s="536"/>
      <c r="U315" s="542"/>
    </row>
    <row r="316" spans="1:21">
      <c r="A316" s="479"/>
      <c r="B316" s="4" t="s">
        <v>69</v>
      </c>
      <c r="C316" s="506">
        <v>9.7804152272805006E-2</v>
      </c>
      <c r="D316" s="508">
        <v>0.10946022419418926</v>
      </c>
      <c r="E316" s="614">
        <v>0</v>
      </c>
      <c r="F316" s="508">
        <v>2.1784232365145227E-2</v>
      </c>
      <c r="G316" s="508">
        <v>9.5044679122664497E-2</v>
      </c>
      <c r="H316" s="508">
        <v>0</v>
      </c>
      <c r="I316" s="508">
        <v>0</v>
      </c>
      <c r="J316" s="509">
        <v>9.3994845030327123E-2</v>
      </c>
      <c r="K316" s="506">
        <v>0</v>
      </c>
      <c r="L316" s="507">
        <v>0</v>
      </c>
      <c r="M316" s="507">
        <v>0</v>
      </c>
      <c r="N316" s="507">
        <v>0</v>
      </c>
      <c r="O316" s="506">
        <v>0</v>
      </c>
      <c r="P316" s="506">
        <v>0</v>
      </c>
      <c r="Q316" s="507">
        <v>0</v>
      </c>
      <c r="R316" s="507">
        <v>0</v>
      </c>
      <c r="S316" s="515">
        <v>0</v>
      </c>
      <c r="T316" s="543"/>
      <c r="U316" s="550"/>
    </row>
    <row r="317" spans="1:21" ht="13.5" thickBot="1">
      <c r="A317" s="479"/>
      <c r="B317" s="4" t="s">
        <v>93</v>
      </c>
      <c r="C317" s="506">
        <v>0.17789483541135326</v>
      </c>
      <c r="D317" s="508">
        <v>0.6218594355460918</v>
      </c>
      <c r="E317" s="619">
        <v>0</v>
      </c>
      <c r="F317" s="508">
        <v>-1.9985332481997748</v>
      </c>
      <c r="G317" s="508">
        <v>-7.5827707322901468</v>
      </c>
      <c r="H317" s="508">
        <v>0</v>
      </c>
      <c r="I317" s="508">
        <v>0</v>
      </c>
      <c r="J317" s="509">
        <v>-0.27903792440792108</v>
      </c>
      <c r="K317" s="506">
        <v>0</v>
      </c>
      <c r="L317" s="507">
        <v>0</v>
      </c>
      <c r="M317" s="507">
        <v>0</v>
      </c>
      <c r="N317" s="507">
        <v>0</v>
      </c>
      <c r="O317" s="506">
        <v>0</v>
      </c>
      <c r="P317" s="506">
        <v>0</v>
      </c>
      <c r="Q317" s="507">
        <v>0</v>
      </c>
      <c r="R317" s="507">
        <v>0</v>
      </c>
      <c r="S317" s="515">
        <v>0</v>
      </c>
      <c r="T317" s="510"/>
      <c r="U317" s="528"/>
    </row>
    <row r="318" spans="1:21">
      <c r="A318" s="479"/>
      <c r="B318" s="4" t="s">
        <v>71</v>
      </c>
      <c r="C318" s="506">
        <v>0.14569936558629321</v>
      </c>
      <c r="D318" s="634">
        <v>2.9952104398528426E-2</v>
      </c>
      <c r="E318" s="508">
        <v>0</v>
      </c>
      <c r="F318" s="508">
        <v>5.556501745720855E-2</v>
      </c>
      <c r="G318" s="508">
        <v>5.7047584715212686E-2</v>
      </c>
      <c r="H318" s="508">
        <v>0</v>
      </c>
      <c r="I318" s="508">
        <v>0</v>
      </c>
      <c r="J318" s="509">
        <v>9.0372559366754618E-2</v>
      </c>
      <c r="K318" s="506">
        <v>0</v>
      </c>
      <c r="L318" s="507">
        <v>0</v>
      </c>
      <c r="M318" s="507">
        <v>0</v>
      </c>
      <c r="N318" s="507">
        <v>0</v>
      </c>
      <c r="O318" s="506">
        <v>0</v>
      </c>
      <c r="P318" s="506">
        <v>0</v>
      </c>
      <c r="Q318" s="507">
        <v>0</v>
      </c>
      <c r="R318" s="507">
        <v>0</v>
      </c>
      <c r="S318" s="515">
        <v>0</v>
      </c>
      <c r="T318" s="536"/>
      <c r="U318" s="542"/>
    </row>
    <row r="319" spans="1:21">
      <c r="A319" s="479"/>
      <c r="B319" s="4" t="s">
        <v>73</v>
      </c>
      <c r="C319" s="506">
        <v>0.16898108561069877</v>
      </c>
      <c r="D319" s="635">
        <v>3.1497959134528554E-2</v>
      </c>
      <c r="E319" s="508">
        <v>0</v>
      </c>
      <c r="F319" s="508">
        <v>0.2620331950207469</v>
      </c>
      <c r="G319" s="508">
        <v>0.13647441104792851</v>
      </c>
      <c r="H319" s="508">
        <v>0</v>
      </c>
      <c r="I319" s="508">
        <v>0</v>
      </c>
      <c r="J319" s="509">
        <v>0.12839123056734589</v>
      </c>
      <c r="K319" s="506">
        <v>0</v>
      </c>
      <c r="L319" s="507">
        <v>0</v>
      </c>
      <c r="M319" s="507">
        <v>0</v>
      </c>
      <c r="N319" s="507">
        <v>0</v>
      </c>
      <c r="O319" s="506">
        <v>0</v>
      </c>
      <c r="P319" s="506">
        <v>0</v>
      </c>
      <c r="Q319" s="507">
        <v>0</v>
      </c>
      <c r="R319" s="507">
        <v>0</v>
      </c>
      <c r="S319" s="515">
        <v>0</v>
      </c>
      <c r="T319" s="543"/>
      <c r="U319" s="550"/>
    </row>
    <row r="320" spans="1:21">
      <c r="A320" s="479"/>
      <c r="B320" s="4" t="s">
        <v>99</v>
      </c>
      <c r="C320" s="506">
        <v>2.3281720024405566</v>
      </c>
      <c r="D320" s="636">
        <v>0.15458547360001282</v>
      </c>
      <c r="E320" s="508">
        <v>0</v>
      </c>
      <c r="F320" s="508">
        <v>20.646817756353837</v>
      </c>
      <c r="G320" s="508">
        <v>7.9426826332715832</v>
      </c>
      <c r="H320" s="508">
        <v>0</v>
      </c>
      <c r="I320" s="508">
        <v>0</v>
      </c>
      <c r="J320" s="509">
        <v>3.8018671200591267</v>
      </c>
      <c r="K320" s="506">
        <v>0</v>
      </c>
      <c r="L320" s="507">
        <v>0</v>
      </c>
      <c r="M320" s="507">
        <v>0</v>
      </c>
      <c r="N320" s="507">
        <v>0</v>
      </c>
      <c r="O320" s="506">
        <v>0</v>
      </c>
      <c r="P320" s="506">
        <v>0</v>
      </c>
      <c r="Q320" s="507">
        <v>0</v>
      </c>
      <c r="R320" s="507">
        <v>0</v>
      </c>
      <c r="S320" s="515">
        <v>0</v>
      </c>
      <c r="T320" s="510"/>
      <c r="U320" s="528"/>
    </row>
    <row r="321" spans="1:21">
      <c r="A321" s="479"/>
      <c r="B321" s="4" t="s">
        <v>75</v>
      </c>
      <c r="C321" s="506">
        <v>5.7054076215959605E-3</v>
      </c>
      <c r="D321" s="508">
        <v>2.3253661584025542E-3</v>
      </c>
      <c r="E321" s="508">
        <v>0</v>
      </c>
      <c r="F321" s="508">
        <v>0</v>
      </c>
      <c r="G321" s="508">
        <v>0</v>
      </c>
      <c r="H321" s="508">
        <v>0</v>
      </c>
      <c r="I321" s="508">
        <v>0</v>
      </c>
      <c r="J321" s="509">
        <v>3.6390501319261215E-3</v>
      </c>
      <c r="K321" s="506">
        <v>0</v>
      </c>
      <c r="L321" s="507">
        <v>0</v>
      </c>
      <c r="M321" s="507">
        <v>0</v>
      </c>
      <c r="N321" s="507">
        <v>0</v>
      </c>
      <c r="O321" s="506">
        <v>0</v>
      </c>
      <c r="P321" s="506">
        <v>0</v>
      </c>
      <c r="Q321" s="507">
        <v>0</v>
      </c>
      <c r="R321" s="507">
        <v>0</v>
      </c>
      <c r="S321" s="515">
        <v>0</v>
      </c>
      <c r="T321" s="536"/>
      <c r="U321" s="542"/>
    </row>
    <row r="322" spans="1:21">
      <c r="A322" s="479"/>
      <c r="B322" s="4" t="s">
        <v>77</v>
      </c>
      <c r="C322" s="506">
        <v>8.037760372131204E-3</v>
      </c>
      <c r="D322" s="508">
        <v>6.3573862473360384E-3</v>
      </c>
      <c r="E322" s="508">
        <v>0</v>
      </c>
      <c r="F322" s="508">
        <v>1.2448132780082987E-3</v>
      </c>
      <c r="G322" s="508">
        <v>0</v>
      </c>
      <c r="H322" s="508">
        <v>0</v>
      </c>
      <c r="I322" s="508">
        <v>0</v>
      </c>
      <c r="J322" s="509">
        <v>6.4031049502241942E-3</v>
      </c>
      <c r="K322" s="506">
        <v>0</v>
      </c>
      <c r="L322" s="507">
        <v>0</v>
      </c>
      <c r="M322" s="507">
        <v>0</v>
      </c>
      <c r="N322" s="507">
        <v>0</v>
      </c>
      <c r="O322" s="506">
        <v>0</v>
      </c>
      <c r="P322" s="506">
        <v>0</v>
      </c>
      <c r="Q322" s="507">
        <v>0</v>
      </c>
      <c r="R322" s="507">
        <v>0</v>
      </c>
      <c r="S322" s="515">
        <v>0</v>
      </c>
      <c r="T322" s="543"/>
      <c r="U322" s="550"/>
    </row>
    <row r="323" spans="1:21">
      <c r="A323" s="479"/>
      <c r="B323" s="4" t="s">
        <v>101</v>
      </c>
      <c r="C323" s="506">
        <v>0.23323527505352434</v>
      </c>
      <c r="D323" s="508">
        <v>0.40320200889334845</v>
      </c>
      <c r="E323" s="508">
        <v>0</v>
      </c>
      <c r="F323" s="508">
        <v>0</v>
      </c>
      <c r="G323" s="508">
        <v>0</v>
      </c>
      <c r="H323" s="508">
        <v>0</v>
      </c>
      <c r="I323" s="508">
        <v>0</v>
      </c>
      <c r="J323" s="509">
        <v>0.27640548182980729</v>
      </c>
      <c r="K323" s="506">
        <v>0</v>
      </c>
      <c r="L323" s="507">
        <v>0</v>
      </c>
      <c r="M323" s="507">
        <v>0</v>
      </c>
      <c r="N323" s="507">
        <v>0</v>
      </c>
      <c r="O323" s="506">
        <v>0</v>
      </c>
      <c r="P323" s="506">
        <v>0</v>
      </c>
      <c r="Q323" s="507">
        <v>0</v>
      </c>
      <c r="R323" s="507">
        <v>0</v>
      </c>
      <c r="S323" s="515">
        <v>0</v>
      </c>
      <c r="T323" s="510"/>
      <c r="U323" s="528"/>
    </row>
    <row r="324" spans="1:21">
      <c r="A324" s="479"/>
      <c r="B324" s="4" t="s">
        <v>79</v>
      </c>
      <c r="C324" s="506">
        <v>1.8126105908247377E-4</v>
      </c>
      <c r="D324" s="508">
        <v>0</v>
      </c>
      <c r="E324" s="508">
        <v>0</v>
      </c>
      <c r="F324" s="508">
        <v>6.3442050583326238E-3</v>
      </c>
      <c r="G324" s="508">
        <v>1.3788752703677E-2</v>
      </c>
      <c r="H324" s="508">
        <v>0</v>
      </c>
      <c r="I324" s="508">
        <v>0</v>
      </c>
      <c r="J324" s="509">
        <v>1.3635883905013192E-3</v>
      </c>
      <c r="K324" s="506">
        <v>0</v>
      </c>
      <c r="L324" s="507">
        <v>0</v>
      </c>
      <c r="M324" s="507">
        <v>0</v>
      </c>
      <c r="N324" s="507">
        <v>0</v>
      </c>
      <c r="O324" s="506">
        <v>0</v>
      </c>
      <c r="P324" s="506">
        <v>0</v>
      </c>
      <c r="Q324" s="507">
        <v>0</v>
      </c>
      <c r="R324" s="507">
        <v>0</v>
      </c>
      <c r="S324" s="515">
        <v>0</v>
      </c>
      <c r="T324" s="536"/>
      <c r="U324" s="542"/>
    </row>
    <row r="325" spans="1:21">
      <c r="A325" s="479"/>
      <c r="B325" s="4" t="s">
        <v>81</v>
      </c>
      <c r="C325" s="506">
        <v>3.334815473543797E-4</v>
      </c>
      <c r="D325" s="508">
        <v>0</v>
      </c>
      <c r="E325" s="669">
        <v>0</v>
      </c>
      <c r="F325" s="508">
        <v>4.4813278008298757E-3</v>
      </c>
      <c r="G325" s="508">
        <v>1.5231519090170594E-2</v>
      </c>
      <c r="H325" s="508">
        <v>0</v>
      </c>
      <c r="I325" s="508">
        <v>0</v>
      </c>
      <c r="J325" s="509">
        <v>1.2695074567533949E-3</v>
      </c>
      <c r="K325" s="506">
        <v>0</v>
      </c>
      <c r="L325" s="507">
        <v>0</v>
      </c>
      <c r="M325" s="507">
        <v>0</v>
      </c>
      <c r="N325" s="507">
        <v>0</v>
      </c>
      <c r="O325" s="506">
        <v>0</v>
      </c>
      <c r="P325" s="506">
        <v>0</v>
      </c>
      <c r="Q325" s="507">
        <v>0</v>
      </c>
      <c r="R325" s="507">
        <v>0</v>
      </c>
      <c r="S325" s="515">
        <v>0</v>
      </c>
      <c r="T325" s="543"/>
      <c r="U325" s="550"/>
    </row>
    <row r="326" spans="1:21">
      <c r="A326" s="479"/>
      <c r="B326" s="4" t="s">
        <v>107</v>
      </c>
      <c r="C326" s="506">
        <v>1.5222048827190592E-2</v>
      </c>
      <c r="D326" s="508">
        <v>0</v>
      </c>
      <c r="E326" s="508">
        <v>0</v>
      </c>
      <c r="F326" s="508">
        <v>-0.1862877257502748</v>
      </c>
      <c r="G326" s="508">
        <v>0.14427663864935938</v>
      </c>
      <c r="H326" s="508">
        <v>0</v>
      </c>
      <c r="I326" s="508">
        <v>0</v>
      </c>
      <c r="J326" s="509">
        <v>-9.4080933747924325E-3</v>
      </c>
      <c r="K326" s="506">
        <v>0</v>
      </c>
      <c r="L326" s="507">
        <v>0</v>
      </c>
      <c r="M326" s="507">
        <v>0</v>
      </c>
      <c r="N326" s="507">
        <v>0</v>
      </c>
      <c r="O326" s="506">
        <v>0</v>
      </c>
      <c r="P326" s="506">
        <v>0</v>
      </c>
      <c r="Q326" s="507">
        <v>0</v>
      </c>
      <c r="R326" s="507">
        <v>0</v>
      </c>
      <c r="S326" s="515">
        <v>0</v>
      </c>
      <c r="T326" s="551"/>
      <c r="U326" s="554"/>
    </row>
    <row r="327" spans="1:21">
      <c r="A327" s="479"/>
      <c r="B327" s="4" t="s">
        <v>83</v>
      </c>
      <c r="C327" s="617">
        <v>1.2947218505890984E-4</v>
      </c>
      <c r="D327" s="508">
        <v>0</v>
      </c>
      <c r="E327" s="508">
        <v>0</v>
      </c>
      <c r="F327" s="508">
        <v>0</v>
      </c>
      <c r="G327" s="508">
        <v>1.8925739005046863E-3</v>
      </c>
      <c r="H327" s="508">
        <v>0</v>
      </c>
      <c r="I327" s="508">
        <v>0</v>
      </c>
      <c r="J327" s="509">
        <v>1.5197889182058048E-4</v>
      </c>
      <c r="K327" s="506">
        <v>0</v>
      </c>
      <c r="L327" s="507">
        <v>0</v>
      </c>
      <c r="M327" s="507">
        <v>0</v>
      </c>
      <c r="N327" s="507">
        <v>0</v>
      </c>
      <c r="O327" s="506">
        <v>0</v>
      </c>
      <c r="P327" s="506">
        <v>0</v>
      </c>
      <c r="Q327" s="507">
        <v>0</v>
      </c>
      <c r="R327" s="507">
        <v>0</v>
      </c>
      <c r="S327" s="515">
        <v>0</v>
      </c>
      <c r="T327" s="506"/>
      <c r="U327" s="527"/>
    </row>
    <row r="328" spans="1:21">
      <c r="A328" s="479"/>
      <c r="B328" s="4" t="s">
        <v>85</v>
      </c>
      <c r="C328" s="506">
        <v>2.5652426719567672E-5</v>
      </c>
      <c r="D328" s="508">
        <v>0</v>
      </c>
      <c r="E328" s="508">
        <v>0</v>
      </c>
      <c r="F328" s="508">
        <v>0</v>
      </c>
      <c r="G328" s="508">
        <v>0</v>
      </c>
      <c r="H328" s="508">
        <v>0</v>
      </c>
      <c r="I328" s="508">
        <v>0</v>
      </c>
      <c r="J328" s="509">
        <v>1.2823307643973687E-5</v>
      </c>
      <c r="K328" s="506">
        <v>0</v>
      </c>
      <c r="L328" s="507">
        <v>0</v>
      </c>
      <c r="M328" s="507">
        <v>0</v>
      </c>
      <c r="N328" s="507">
        <v>0</v>
      </c>
      <c r="O328" s="506">
        <v>0</v>
      </c>
      <c r="P328" s="506">
        <v>0</v>
      </c>
      <c r="Q328" s="507">
        <v>0</v>
      </c>
      <c r="R328" s="507">
        <v>0</v>
      </c>
      <c r="S328" s="515">
        <v>0</v>
      </c>
      <c r="T328" s="506"/>
      <c r="U328" s="527"/>
    </row>
    <row r="329" spans="1:21">
      <c r="A329" s="502"/>
      <c r="B329" s="4" t="s">
        <v>109</v>
      </c>
      <c r="C329" s="506">
        <v>-1.0381975833934217E-2</v>
      </c>
      <c r="D329" s="508">
        <v>0</v>
      </c>
      <c r="E329" s="508">
        <v>0</v>
      </c>
      <c r="F329" s="508">
        <v>0</v>
      </c>
      <c r="G329" s="508">
        <v>-0.18925739005046863</v>
      </c>
      <c r="H329" s="508">
        <v>0</v>
      </c>
      <c r="I329" s="508">
        <v>0</v>
      </c>
      <c r="J329" s="509">
        <v>-1.3915558417660678E-2</v>
      </c>
      <c r="K329" s="506">
        <v>0</v>
      </c>
      <c r="L329" s="507">
        <v>0</v>
      </c>
      <c r="M329" s="507">
        <v>0</v>
      </c>
      <c r="N329" s="507">
        <v>0</v>
      </c>
      <c r="O329" s="506">
        <v>0</v>
      </c>
      <c r="P329" s="506">
        <v>0</v>
      </c>
      <c r="Q329" s="507">
        <v>0</v>
      </c>
      <c r="R329" s="507">
        <v>0</v>
      </c>
      <c r="S329" s="515">
        <v>0</v>
      </c>
      <c r="T329" s="510"/>
      <c r="U329" s="528"/>
    </row>
    <row r="330" spans="1:21">
      <c r="A330" s="478" t="s">
        <v>201</v>
      </c>
      <c r="B330" s="3" t="s">
        <v>39</v>
      </c>
      <c r="C330" s="463">
        <v>0.95414926832290869</v>
      </c>
      <c r="D330" s="464">
        <v>0.9584457015452853</v>
      </c>
      <c r="E330" s="464">
        <v>0.92284103238380077</v>
      </c>
      <c r="F330" s="464">
        <v>0.82448417522773498</v>
      </c>
      <c r="G330" s="464">
        <v>0.87638331754318777</v>
      </c>
      <c r="H330" s="464">
        <v>0.95876437259532754</v>
      </c>
      <c r="I330" s="464">
        <v>0</v>
      </c>
      <c r="J330" s="466">
        <v>0.93199958289848905</v>
      </c>
      <c r="K330" s="463">
        <v>0</v>
      </c>
      <c r="L330" s="464">
        <v>0.72180094591472743</v>
      </c>
      <c r="M330" s="464">
        <v>0.66286646137102201</v>
      </c>
      <c r="N330" s="464">
        <v>0.62782812863239867</v>
      </c>
      <c r="O330" s="463">
        <v>0.68647603953135683</v>
      </c>
      <c r="P330" s="463">
        <v>0</v>
      </c>
      <c r="Q330" s="464">
        <v>0</v>
      </c>
      <c r="R330" s="464">
        <v>0</v>
      </c>
      <c r="S330" s="516">
        <v>0</v>
      </c>
      <c r="T330" s="536"/>
      <c r="U330" s="542"/>
    </row>
    <row r="331" spans="1:21">
      <c r="A331" s="479"/>
      <c r="B331" s="4" t="s">
        <v>41</v>
      </c>
      <c r="C331" s="506">
        <v>0.9479849716455645</v>
      </c>
      <c r="D331" s="508">
        <v>0.93349694848029718</v>
      </c>
      <c r="E331" s="508">
        <v>0.9134775146037285</v>
      </c>
      <c r="F331" s="508">
        <v>0.83033868944507494</v>
      </c>
      <c r="G331" s="508">
        <v>0.84359996822622929</v>
      </c>
      <c r="H331" s="508">
        <v>0.95046172766303216</v>
      </c>
      <c r="I331" s="508">
        <v>0</v>
      </c>
      <c r="J331" s="509">
        <v>0.91979489354932786</v>
      </c>
      <c r="K331" s="506">
        <v>0</v>
      </c>
      <c r="L331" s="507">
        <v>0.69883620117243106</v>
      </c>
      <c r="M331" s="507">
        <v>0.63532356815525326</v>
      </c>
      <c r="N331" s="507">
        <v>0.62307933250526537</v>
      </c>
      <c r="O331" s="506">
        <v>0.66323841251073434</v>
      </c>
      <c r="P331" s="506">
        <v>0</v>
      </c>
      <c r="Q331" s="507">
        <v>0</v>
      </c>
      <c r="R331" s="507">
        <v>0</v>
      </c>
      <c r="S331" s="515">
        <v>0</v>
      </c>
      <c r="T331" s="543"/>
      <c r="U331" s="550"/>
    </row>
    <row r="332" spans="1:21">
      <c r="A332" s="479"/>
      <c r="B332" s="505" t="s">
        <v>87</v>
      </c>
      <c r="C332" s="510">
        <v>-0.61642966773441943</v>
      </c>
      <c r="D332" s="512">
        <v>-2.4948753064988116</v>
      </c>
      <c r="E332" s="512">
        <v>-0.93635177800722724</v>
      </c>
      <c r="F332" s="512">
        <v>0.58545142173399567</v>
      </c>
      <c r="G332" s="512">
        <v>-3.2783349316958477</v>
      </c>
      <c r="H332" s="512">
        <v>-0.83026449322953777</v>
      </c>
      <c r="I332" s="512">
        <v>0</v>
      </c>
      <c r="J332" s="514">
        <v>-1.2204689349161191</v>
      </c>
      <c r="K332" s="510">
        <v>0</v>
      </c>
      <c r="L332" s="511">
        <v>-2.2964744742296372</v>
      </c>
      <c r="M332" s="511">
        <v>-2.7542893215768749</v>
      </c>
      <c r="N332" s="511">
        <v>-0.47487961271333035</v>
      </c>
      <c r="O332" s="510">
        <v>-2.3237627020622487</v>
      </c>
      <c r="P332" s="510">
        <v>0</v>
      </c>
      <c r="Q332" s="511">
        <v>0</v>
      </c>
      <c r="R332" s="511">
        <v>0</v>
      </c>
      <c r="S332" s="517">
        <v>0</v>
      </c>
      <c r="T332" s="510"/>
      <c r="U332" s="528"/>
    </row>
    <row r="333" spans="1:21">
      <c r="A333" s="479"/>
      <c r="B333" s="4" t="s">
        <v>43</v>
      </c>
      <c r="C333" s="506">
        <v>1.4156772703332564E-2</v>
      </c>
      <c r="D333" s="508">
        <v>2.6233085470997734E-3</v>
      </c>
      <c r="E333" s="508">
        <v>1.4574292935608586E-2</v>
      </c>
      <c r="F333" s="508">
        <v>4.7500244876323053E-2</v>
      </c>
      <c r="G333" s="508">
        <v>4.5099343533095471E-2</v>
      </c>
      <c r="H333" s="508">
        <v>1.0006763574271807E-2</v>
      </c>
      <c r="I333" s="508">
        <v>0</v>
      </c>
      <c r="J333" s="509">
        <v>1.5319100107853027E-2</v>
      </c>
      <c r="K333" s="506">
        <v>0</v>
      </c>
      <c r="L333" s="507">
        <v>0.13702861147367015</v>
      </c>
      <c r="M333" s="507">
        <v>0.18587740599178559</v>
      </c>
      <c r="N333" s="507">
        <v>0.2152793078142575</v>
      </c>
      <c r="O333" s="506">
        <v>0.16633764093356673</v>
      </c>
      <c r="P333" s="506">
        <v>0</v>
      </c>
      <c r="Q333" s="507">
        <v>0</v>
      </c>
      <c r="R333" s="507">
        <v>0</v>
      </c>
      <c r="S333" s="515">
        <v>0</v>
      </c>
      <c r="T333" s="536"/>
      <c r="U333" s="542"/>
    </row>
    <row r="334" spans="1:21">
      <c r="A334" s="479"/>
      <c r="B334" s="4" t="s">
        <v>45</v>
      </c>
      <c r="C334" s="506">
        <v>3.7663218471848696E-3</v>
      </c>
      <c r="D334" s="508">
        <v>1.6194758856473698E-2</v>
      </c>
      <c r="E334" s="508">
        <v>1.8897298418228015E-2</v>
      </c>
      <c r="F334" s="508">
        <v>6.9870378113613282E-2</v>
      </c>
      <c r="G334" s="508">
        <v>4.442608626578759E-2</v>
      </c>
      <c r="H334" s="508">
        <v>3.1365637799079839E-2</v>
      </c>
      <c r="I334" s="508">
        <v>0</v>
      </c>
      <c r="J334" s="509">
        <v>1.8558634037701832E-2</v>
      </c>
      <c r="K334" s="506">
        <v>0</v>
      </c>
      <c r="L334" s="507">
        <v>0.13199853920434065</v>
      </c>
      <c r="M334" s="507">
        <v>0.17358828549694796</v>
      </c>
      <c r="N334" s="507">
        <v>0.20560295944267429</v>
      </c>
      <c r="O334" s="506">
        <v>0.15722638163090052</v>
      </c>
      <c r="P334" s="506">
        <v>0</v>
      </c>
      <c r="Q334" s="507">
        <v>0</v>
      </c>
      <c r="R334" s="507">
        <v>0</v>
      </c>
      <c r="S334" s="515">
        <v>0</v>
      </c>
      <c r="T334" s="543"/>
      <c r="U334" s="550"/>
    </row>
    <row r="335" spans="1:21">
      <c r="A335" s="479"/>
      <c r="B335" s="4" t="s">
        <v>95</v>
      </c>
      <c r="C335" s="506">
        <v>-1.0390450856147693</v>
      </c>
      <c r="D335" s="508">
        <v>1.3571450309373925</v>
      </c>
      <c r="E335" s="508">
        <v>0.43230054826194286</v>
      </c>
      <c r="F335" s="508">
        <v>2.2370133237290228</v>
      </c>
      <c r="G335" s="508">
        <v>-6.7325726730788071E-2</v>
      </c>
      <c r="H335" s="508">
        <v>2.1358874224808035</v>
      </c>
      <c r="I335" s="508">
        <v>0</v>
      </c>
      <c r="J335" s="509">
        <v>0.32395339298488046</v>
      </c>
      <c r="K335" s="506">
        <v>0</v>
      </c>
      <c r="L335" s="507">
        <v>-0.50300722693294997</v>
      </c>
      <c r="M335" s="507">
        <v>-1.2289120494837631</v>
      </c>
      <c r="N335" s="507">
        <v>-0.96763483715832099</v>
      </c>
      <c r="O335" s="506">
        <v>-0.91112593026662081</v>
      </c>
      <c r="P335" s="506">
        <v>0</v>
      </c>
      <c r="Q335" s="507">
        <v>0</v>
      </c>
      <c r="R335" s="507">
        <v>0</v>
      </c>
      <c r="S335" s="515">
        <v>0</v>
      </c>
      <c r="T335" s="510"/>
      <c r="U335" s="528"/>
    </row>
    <row r="336" spans="1:21">
      <c r="A336" s="479"/>
      <c r="B336" s="4" t="s">
        <v>49</v>
      </c>
      <c r="C336" s="506">
        <v>3.0594119732733901E-2</v>
      </c>
      <c r="D336" s="508">
        <v>3.8866948921383759E-2</v>
      </c>
      <c r="E336" s="508">
        <v>6.2391651433223554E-2</v>
      </c>
      <c r="F336" s="508">
        <v>0.12801557989594198</v>
      </c>
      <c r="G336" s="508">
        <v>7.8278806936913331E-2</v>
      </c>
      <c r="H336" s="508">
        <v>3.0147800729578997E-2</v>
      </c>
      <c r="I336" s="508">
        <v>0</v>
      </c>
      <c r="J336" s="509">
        <v>5.2251562821770257E-2</v>
      </c>
      <c r="K336" s="506">
        <v>0</v>
      </c>
      <c r="L336" s="507">
        <v>0.10976455431402894</v>
      </c>
      <c r="M336" s="507">
        <v>0.10382128404313151</v>
      </c>
      <c r="N336" s="507">
        <v>8.1385056205027256E-2</v>
      </c>
      <c r="O336" s="506">
        <v>0.10465699569495768</v>
      </c>
      <c r="P336" s="506">
        <v>0</v>
      </c>
      <c r="Q336" s="507">
        <v>0</v>
      </c>
      <c r="R336" s="507">
        <v>0</v>
      </c>
      <c r="S336" s="515">
        <v>0</v>
      </c>
      <c r="T336" s="536"/>
      <c r="U336" s="542"/>
    </row>
    <row r="337" spans="1:21">
      <c r="A337" s="479"/>
      <c r="B337" s="4" t="s">
        <v>51</v>
      </c>
      <c r="C337" s="506">
        <v>3.8646978045038055E-2</v>
      </c>
      <c r="D337" s="508">
        <v>5.0119851086287172E-2</v>
      </c>
      <c r="E337" s="508">
        <v>6.751540170482298E-2</v>
      </c>
      <c r="F337" s="508">
        <v>9.8787408159608153E-2</v>
      </c>
      <c r="G337" s="508">
        <v>0.11146874255302248</v>
      </c>
      <c r="H337" s="508">
        <v>1.7568710127263343E-2</v>
      </c>
      <c r="I337" s="508">
        <v>0</v>
      </c>
      <c r="J337" s="509">
        <v>5.9046053503725111E-2</v>
      </c>
      <c r="K337" s="506">
        <v>0</v>
      </c>
      <c r="L337" s="507">
        <v>0.12734391303522985</v>
      </c>
      <c r="M337" s="507">
        <v>0.12969220208167126</v>
      </c>
      <c r="N337" s="507">
        <v>9.5311875573797056E-2</v>
      </c>
      <c r="O337" s="506">
        <v>0.1258767482102556</v>
      </c>
      <c r="P337" s="506">
        <v>0</v>
      </c>
      <c r="Q337" s="507">
        <v>0</v>
      </c>
      <c r="R337" s="507">
        <v>0</v>
      </c>
      <c r="S337" s="515">
        <v>0</v>
      </c>
      <c r="T337" s="543"/>
      <c r="U337" s="550"/>
    </row>
    <row r="338" spans="1:21">
      <c r="A338" s="479"/>
      <c r="B338" s="4" t="s">
        <v>97</v>
      </c>
      <c r="C338" s="506">
        <v>0.80528583123041542</v>
      </c>
      <c r="D338" s="508">
        <v>1.1252902164903413</v>
      </c>
      <c r="E338" s="508">
        <v>0.51237502715994265</v>
      </c>
      <c r="F338" s="508">
        <v>-2.9228171736333826</v>
      </c>
      <c r="G338" s="508">
        <v>3.3189935616109154</v>
      </c>
      <c r="H338" s="508">
        <v>-1.2579090602315652</v>
      </c>
      <c r="I338" s="508">
        <v>0</v>
      </c>
      <c r="J338" s="509">
        <v>0.67944906819548545</v>
      </c>
      <c r="K338" s="506">
        <v>0</v>
      </c>
      <c r="L338" s="507">
        <v>1.7579358721200908</v>
      </c>
      <c r="M338" s="507">
        <v>2.5870918038539745</v>
      </c>
      <c r="N338" s="507">
        <v>1.3926819368769801</v>
      </c>
      <c r="O338" s="506">
        <v>2.1219752515297925</v>
      </c>
      <c r="P338" s="506">
        <v>0</v>
      </c>
      <c r="Q338" s="507">
        <v>0</v>
      </c>
      <c r="R338" s="507">
        <v>0</v>
      </c>
      <c r="S338" s="515">
        <v>0</v>
      </c>
      <c r="T338" s="510"/>
      <c r="U338" s="528"/>
    </row>
    <row r="339" spans="1:21">
      <c r="A339" s="479"/>
      <c r="B339" s="4" t="s">
        <v>53</v>
      </c>
      <c r="C339" s="506">
        <v>5.1635645118538228E-4</v>
      </c>
      <c r="D339" s="669">
        <v>6.404098623118796E-5</v>
      </c>
      <c r="E339" s="669">
        <v>1.930232473670747E-4</v>
      </c>
      <c r="F339" s="508">
        <v>0</v>
      </c>
      <c r="G339" s="508">
        <v>2.385319868034698E-4</v>
      </c>
      <c r="H339" s="508">
        <v>1.081063100821608E-3</v>
      </c>
      <c r="I339" s="508">
        <v>0</v>
      </c>
      <c r="J339" s="509">
        <v>2.8184892897406989E-4</v>
      </c>
      <c r="K339" s="506">
        <v>0</v>
      </c>
      <c r="L339" s="507">
        <v>1.8507507860264598E-3</v>
      </c>
      <c r="M339" s="507">
        <v>6.2304684361073866E-3</v>
      </c>
      <c r="N339" s="507">
        <v>4.6290390892339359E-3</v>
      </c>
      <c r="O339" s="506">
        <v>4.132159965954358E-3</v>
      </c>
      <c r="P339" s="506">
        <v>0</v>
      </c>
      <c r="Q339" s="507">
        <v>0</v>
      </c>
      <c r="R339" s="507">
        <v>0</v>
      </c>
      <c r="S339" s="515">
        <v>0</v>
      </c>
      <c r="T339" s="536"/>
      <c r="U339" s="542"/>
    </row>
    <row r="340" spans="1:21">
      <c r="A340" s="479"/>
      <c r="B340" s="4" t="s">
        <v>55</v>
      </c>
      <c r="C340" s="506">
        <v>1.9809493112004216E-4</v>
      </c>
      <c r="D340" s="669">
        <v>1.8844157694192972E-4</v>
      </c>
      <c r="E340" s="669">
        <v>1.0978527322047475E-4</v>
      </c>
      <c r="F340" s="508">
        <v>1.0035242817036018E-3</v>
      </c>
      <c r="G340" s="508">
        <v>5.0520295496067993E-4</v>
      </c>
      <c r="H340" s="508">
        <v>6.0392441062467742E-4</v>
      </c>
      <c r="I340" s="508">
        <v>0</v>
      </c>
      <c r="J340" s="509">
        <v>2.2419598589495452E-4</v>
      </c>
      <c r="K340" s="506">
        <v>0</v>
      </c>
      <c r="L340" s="507">
        <v>1.5388628559503707E-3</v>
      </c>
      <c r="M340" s="507">
        <v>5.9432457002912848E-3</v>
      </c>
      <c r="N340" s="507">
        <v>7.4099476157044883E-3</v>
      </c>
      <c r="O340" s="506">
        <v>4.0567971450394197E-3</v>
      </c>
      <c r="P340" s="506">
        <v>0</v>
      </c>
      <c r="Q340" s="507">
        <v>0</v>
      </c>
      <c r="R340" s="507">
        <v>0</v>
      </c>
      <c r="S340" s="515">
        <v>0</v>
      </c>
      <c r="T340" s="543"/>
      <c r="U340" s="550"/>
    </row>
    <row r="341" spans="1:21">
      <c r="A341" s="479"/>
      <c r="B341" s="4" t="s">
        <v>103</v>
      </c>
      <c r="C341" s="506">
        <v>-3.1826152006534013E-2</v>
      </c>
      <c r="D341" s="508">
        <v>1.2440059071074176E-2</v>
      </c>
      <c r="E341" s="508">
        <v>-8.3237974146599947E-3</v>
      </c>
      <c r="F341" s="508">
        <v>0</v>
      </c>
      <c r="G341" s="508">
        <v>2.6667096815721009E-2</v>
      </c>
      <c r="H341" s="508">
        <v>-4.7713869019693052E-2</v>
      </c>
      <c r="I341" s="508">
        <v>0</v>
      </c>
      <c r="J341" s="509">
        <v>-5.7652943079115363E-3</v>
      </c>
      <c r="K341" s="506">
        <v>0</v>
      </c>
      <c r="L341" s="507">
        <v>-3.1188793007608913E-2</v>
      </c>
      <c r="M341" s="507">
        <v>-2.872227358161018E-2</v>
      </c>
      <c r="N341" s="507">
        <v>0.27809085264705524</v>
      </c>
      <c r="O341" s="506">
        <v>-7.5362820914938282E-3</v>
      </c>
      <c r="P341" s="506">
        <v>0</v>
      </c>
      <c r="Q341" s="507">
        <v>0</v>
      </c>
      <c r="R341" s="507">
        <v>0</v>
      </c>
      <c r="S341" s="515">
        <v>0</v>
      </c>
      <c r="T341" s="510"/>
      <c r="U341" s="528"/>
    </row>
    <row r="342" spans="1:21">
      <c r="A342" s="479"/>
      <c r="B342" s="4" t="s">
        <v>57</v>
      </c>
      <c r="C342" s="506">
        <v>5.8348278983948198E-4</v>
      </c>
      <c r="D342" s="508">
        <v>0</v>
      </c>
      <c r="E342" s="669">
        <v>0</v>
      </c>
      <c r="F342" s="508">
        <v>0</v>
      </c>
      <c r="G342" s="508">
        <v>0</v>
      </c>
      <c r="H342" s="508">
        <v>0</v>
      </c>
      <c r="I342" s="508">
        <v>0</v>
      </c>
      <c r="J342" s="509">
        <v>1.479052429136373E-4</v>
      </c>
      <c r="K342" s="506">
        <v>0</v>
      </c>
      <c r="L342" s="507">
        <v>2.9555137511547102E-2</v>
      </c>
      <c r="M342" s="507">
        <v>4.1204380157953628E-2</v>
      </c>
      <c r="N342" s="507">
        <v>7.0878468259082616E-2</v>
      </c>
      <c r="O342" s="506">
        <v>3.8397163874164662E-2</v>
      </c>
      <c r="P342" s="506">
        <v>0</v>
      </c>
      <c r="Q342" s="507">
        <v>0</v>
      </c>
      <c r="R342" s="507">
        <v>0</v>
      </c>
      <c r="S342" s="515">
        <v>0</v>
      </c>
      <c r="T342" s="536"/>
      <c r="U342" s="542"/>
    </row>
    <row r="343" spans="1:21">
      <c r="A343" s="479"/>
      <c r="B343" s="4" t="s">
        <v>59</v>
      </c>
      <c r="C343" s="506">
        <v>9.40363353109251E-3</v>
      </c>
      <c r="D343" s="508">
        <v>0</v>
      </c>
      <c r="E343" s="508">
        <v>0</v>
      </c>
      <c r="F343" s="508">
        <v>0</v>
      </c>
      <c r="G343" s="508">
        <v>0</v>
      </c>
      <c r="H343" s="508">
        <v>0</v>
      </c>
      <c r="I343" s="508">
        <v>0</v>
      </c>
      <c r="J343" s="509">
        <v>2.3762229233502134E-3</v>
      </c>
      <c r="K343" s="506">
        <v>0</v>
      </c>
      <c r="L343" s="507">
        <v>4.0282483732048333E-2</v>
      </c>
      <c r="M343" s="507">
        <v>5.5452698565836095E-2</v>
      </c>
      <c r="N343" s="507">
        <v>6.8595884862558729E-2</v>
      </c>
      <c r="O343" s="506">
        <v>4.9601660503070286E-2</v>
      </c>
      <c r="P343" s="506">
        <v>0</v>
      </c>
      <c r="Q343" s="507">
        <v>0</v>
      </c>
      <c r="R343" s="507">
        <v>0</v>
      </c>
      <c r="S343" s="515">
        <v>0</v>
      </c>
      <c r="T343" s="543"/>
      <c r="U343" s="550"/>
    </row>
    <row r="344" spans="1:21">
      <c r="A344" s="479"/>
      <c r="B344" s="4" t="s">
        <v>105</v>
      </c>
      <c r="C344" s="506">
        <v>0.88201507412530278</v>
      </c>
      <c r="D344" s="508">
        <v>0</v>
      </c>
      <c r="E344" s="508">
        <v>0</v>
      </c>
      <c r="F344" s="508">
        <v>0</v>
      </c>
      <c r="G344" s="508">
        <v>0</v>
      </c>
      <c r="H344" s="508">
        <v>0</v>
      </c>
      <c r="I344" s="508">
        <v>0</v>
      </c>
      <c r="J344" s="509">
        <v>0.22283176804365762</v>
      </c>
      <c r="K344" s="506">
        <v>0</v>
      </c>
      <c r="L344" s="507">
        <v>1.072734622050123</v>
      </c>
      <c r="M344" s="507">
        <v>1.4248318407882468</v>
      </c>
      <c r="N344" s="507">
        <v>-0.22825833965238879</v>
      </c>
      <c r="O344" s="506">
        <v>1.1204496628905622</v>
      </c>
      <c r="P344" s="506">
        <v>0</v>
      </c>
      <c r="Q344" s="507">
        <v>0</v>
      </c>
      <c r="R344" s="507">
        <v>0</v>
      </c>
      <c r="S344" s="515">
        <v>0</v>
      </c>
      <c r="T344" s="510"/>
      <c r="U344" s="528"/>
    </row>
    <row r="345" spans="1:21">
      <c r="A345" s="479"/>
      <c r="B345" s="4" t="s">
        <v>61</v>
      </c>
      <c r="C345" s="506">
        <v>0</v>
      </c>
      <c r="D345" s="508">
        <v>0</v>
      </c>
      <c r="E345" s="508">
        <v>0</v>
      </c>
      <c r="F345" s="508">
        <v>0</v>
      </c>
      <c r="G345" s="508">
        <v>0</v>
      </c>
      <c r="H345" s="508">
        <v>0</v>
      </c>
      <c r="I345" s="508">
        <v>0</v>
      </c>
      <c r="J345" s="509">
        <v>0</v>
      </c>
      <c r="K345" s="506">
        <v>0</v>
      </c>
      <c r="L345" s="507">
        <v>0</v>
      </c>
      <c r="M345" s="507">
        <v>0</v>
      </c>
      <c r="N345" s="507">
        <v>0</v>
      </c>
      <c r="O345" s="506">
        <v>0</v>
      </c>
      <c r="P345" s="506">
        <v>0</v>
      </c>
      <c r="Q345" s="507">
        <v>0</v>
      </c>
      <c r="R345" s="507">
        <v>0</v>
      </c>
      <c r="S345" s="515">
        <v>0</v>
      </c>
      <c r="T345" s="536"/>
      <c r="U345" s="542"/>
    </row>
    <row r="346" spans="1:21">
      <c r="A346" s="479"/>
      <c r="B346" s="4" t="s">
        <v>63</v>
      </c>
      <c r="C346" s="506">
        <v>0</v>
      </c>
      <c r="D346" s="508">
        <v>0</v>
      </c>
      <c r="E346" s="508">
        <v>0</v>
      </c>
      <c r="F346" s="508">
        <v>0</v>
      </c>
      <c r="G346" s="508">
        <v>0</v>
      </c>
      <c r="H346" s="508">
        <v>0</v>
      </c>
      <c r="I346" s="508">
        <v>0</v>
      </c>
      <c r="J346" s="509">
        <v>0</v>
      </c>
      <c r="K346" s="506">
        <v>0</v>
      </c>
      <c r="L346" s="507">
        <v>0</v>
      </c>
      <c r="M346" s="507">
        <v>0</v>
      </c>
      <c r="N346" s="507">
        <v>0</v>
      </c>
      <c r="O346" s="506">
        <v>0</v>
      </c>
      <c r="P346" s="506">
        <v>0</v>
      </c>
      <c r="Q346" s="507">
        <v>0</v>
      </c>
      <c r="R346" s="507">
        <v>0</v>
      </c>
      <c r="S346" s="515">
        <v>0</v>
      </c>
      <c r="T346" s="543"/>
      <c r="U346" s="550"/>
    </row>
    <row r="347" spans="1:21">
      <c r="A347" s="479"/>
      <c r="B347" s="4" t="s">
        <v>91</v>
      </c>
      <c r="C347" s="506">
        <v>0</v>
      </c>
      <c r="D347" s="508">
        <v>0</v>
      </c>
      <c r="E347" s="508">
        <v>0</v>
      </c>
      <c r="F347" s="508">
        <v>0</v>
      </c>
      <c r="G347" s="508">
        <v>0</v>
      </c>
      <c r="H347" s="508">
        <v>0</v>
      </c>
      <c r="I347" s="508">
        <v>0</v>
      </c>
      <c r="J347" s="509">
        <v>0</v>
      </c>
      <c r="K347" s="506">
        <v>0</v>
      </c>
      <c r="L347" s="507">
        <v>0</v>
      </c>
      <c r="M347" s="507">
        <v>0</v>
      </c>
      <c r="N347" s="507">
        <v>0</v>
      </c>
      <c r="O347" s="506">
        <v>0</v>
      </c>
      <c r="P347" s="506">
        <v>0</v>
      </c>
      <c r="Q347" s="507">
        <v>0</v>
      </c>
      <c r="R347" s="507">
        <v>0</v>
      </c>
      <c r="S347" s="515">
        <v>0</v>
      </c>
      <c r="T347" s="510"/>
      <c r="U347" s="528"/>
    </row>
    <row r="348" spans="1:21">
      <c r="A348" s="479"/>
      <c r="B348" s="4" t="s">
        <v>47</v>
      </c>
      <c r="C348" s="506">
        <v>0.88468509588352418</v>
      </c>
      <c r="D348" s="508">
        <v>0.83062423573622834</v>
      </c>
      <c r="E348" s="508">
        <v>0.61879562638508667</v>
      </c>
      <c r="F348" s="647">
        <v>0.549654305468259</v>
      </c>
      <c r="G348" s="631">
        <v>0.68778307158402452</v>
      </c>
      <c r="H348" s="508">
        <v>0.92610837438423643</v>
      </c>
      <c r="I348" s="508">
        <v>0</v>
      </c>
      <c r="J348" s="509">
        <v>0.7724394248037606</v>
      </c>
      <c r="K348" s="506">
        <v>0</v>
      </c>
      <c r="L348" s="507">
        <v>0</v>
      </c>
      <c r="M348" s="507">
        <v>0</v>
      </c>
      <c r="N348" s="507">
        <v>0</v>
      </c>
      <c r="O348" s="506">
        <v>0</v>
      </c>
      <c r="P348" s="506">
        <v>0</v>
      </c>
      <c r="Q348" s="507">
        <v>0</v>
      </c>
      <c r="R348" s="507">
        <v>0</v>
      </c>
      <c r="S348" s="515">
        <v>0</v>
      </c>
      <c r="T348" s="536"/>
      <c r="U348" s="542"/>
    </row>
    <row r="349" spans="1:21">
      <c r="A349" s="479"/>
      <c r="B349" s="4" t="s">
        <v>65</v>
      </c>
      <c r="C349" s="506">
        <v>0.84485915446576176</v>
      </c>
      <c r="D349" s="508">
        <v>0.83556562202815221</v>
      </c>
      <c r="E349" s="508">
        <v>0.5774041048504881</v>
      </c>
      <c r="F349" s="509">
        <v>0.62188439101997528</v>
      </c>
      <c r="G349" s="632">
        <v>0.63278551240448022</v>
      </c>
      <c r="H349" s="508">
        <v>0.80017079419299741</v>
      </c>
      <c r="I349" s="508">
        <v>0</v>
      </c>
      <c r="J349" s="509">
        <v>0.73916512545213509</v>
      </c>
      <c r="K349" s="506">
        <v>0</v>
      </c>
      <c r="L349" s="507">
        <v>0</v>
      </c>
      <c r="M349" s="507">
        <v>0</v>
      </c>
      <c r="N349" s="507">
        <v>0</v>
      </c>
      <c r="O349" s="506">
        <v>0</v>
      </c>
      <c r="P349" s="506">
        <v>0</v>
      </c>
      <c r="Q349" s="507">
        <v>0</v>
      </c>
      <c r="R349" s="507">
        <v>0</v>
      </c>
      <c r="S349" s="515">
        <v>0</v>
      </c>
      <c r="T349" s="543"/>
      <c r="U349" s="550"/>
    </row>
    <row r="350" spans="1:21">
      <c r="A350" s="479"/>
      <c r="B350" s="4" t="s">
        <v>89</v>
      </c>
      <c r="C350" s="506">
        <v>-3.9825941417762412</v>
      </c>
      <c r="D350" s="508">
        <v>0.4941386291923866</v>
      </c>
      <c r="E350" s="508">
        <v>-4.1391521534598574</v>
      </c>
      <c r="F350" s="509">
        <v>7.2230085551716279</v>
      </c>
      <c r="G350" s="633">
        <v>-5.4997559179544293</v>
      </c>
      <c r="H350" s="508">
        <v>-12.593758019123902</v>
      </c>
      <c r="I350" s="508">
        <v>0</v>
      </c>
      <c r="J350" s="509">
        <v>-3.3274299351625514</v>
      </c>
      <c r="K350" s="506">
        <v>0</v>
      </c>
      <c r="L350" s="507">
        <v>0</v>
      </c>
      <c r="M350" s="507">
        <v>0</v>
      </c>
      <c r="N350" s="507">
        <v>0</v>
      </c>
      <c r="O350" s="506">
        <v>0</v>
      </c>
      <c r="P350" s="506">
        <v>0</v>
      </c>
      <c r="Q350" s="507">
        <v>0</v>
      </c>
      <c r="R350" s="507">
        <v>0</v>
      </c>
      <c r="S350" s="515">
        <v>0</v>
      </c>
      <c r="T350" s="510"/>
      <c r="U350" s="528"/>
    </row>
    <row r="351" spans="1:21">
      <c r="A351" s="479"/>
      <c r="B351" s="4" t="s">
        <v>67</v>
      </c>
      <c r="C351" s="506">
        <v>5.9560900425340506E-2</v>
      </c>
      <c r="D351" s="508">
        <v>7.7358406155865075E-2</v>
      </c>
      <c r="E351" s="631">
        <v>0.12108509320818668</v>
      </c>
      <c r="F351" s="644">
        <v>8.3438089252042741E-2</v>
      </c>
      <c r="G351" s="508">
        <v>0.13058055408505381</v>
      </c>
      <c r="H351" s="508">
        <v>0</v>
      </c>
      <c r="I351" s="508">
        <v>0</v>
      </c>
      <c r="J351" s="509">
        <v>8.6063534033285344E-2</v>
      </c>
      <c r="K351" s="506">
        <v>0</v>
      </c>
      <c r="L351" s="507">
        <v>0</v>
      </c>
      <c r="M351" s="507">
        <v>0</v>
      </c>
      <c r="N351" s="507">
        <v>0</v>
      </c>
      <c r="O351" s="506">
        <v>0</v>
      </c>
      <c r="P351" s="506">
        <v>0</v>
      </c>
      <c r="Q351" s="507">
        <v>0</v>
      </c>
      <c r="R351" s="507">
        <v>0</v>
      </c>
      <c r="S351" s="515">
        <v>0</v>
      </c>
      <c r="T351" s="536"/>
      <c r="U351" s="542"/>
    </row>
    <row r="352" spans="1:21">
      <c r="A352" s="479"/>
      <c r="B352" s="4" t="s">
        <v>69</v>
      </c>
      <c r="C352" s="506">
        <v>7.6508400677059663E-2</v>
      </c>
      <c r="D352" s="508">
        <v>7.9077465862316787E-2</v>
      </c>
      <c r="E352" s="632">
        <v>0.14395418556384043</v>
      </c>
      <c r="F352" s="645">
        <v>0.19011843733427611</v>
      </c>
      <c r="G352" s="508">
        <v>9.023343452318644E-2</v>
      </c>
      <c r="H352" s="508">
        <v>0</v>
      </c>
      <c r="I352" s="508">
        <v>0</v>
      </c>
      <c r="J352" s="509">
        <v>0.10291357741807013</v>
      </c>
      <c r="K352" s="506">
        <v>0</v>
      </c>
      <c r="L352" s="507">
        <v>0</v>
      </c>
      <c r="M352" s="507">
        <v>0</v>
      </c>
      <c r="N352" s="507">
        <v>0</v>
      </c>
      <c r="O352" s="506">
        <v>0</v>
      </c>
      <c r="P352" s="506">
        <v>0</v>
      </c>
      <c r="Q352" s="507">
        <v>0</v>
      </c>
      <c r="R352" s="507">
        <v>0</v>
      </c>
      <c r="S352" s="515">
        <v>0</v>
      </c>
      <c r="T352" s="543"/>
      <c r="U352" s="550"/>
    </row>
    <row r="353" spans="1:21">
      <c r="A353" s="479"/>
      <c r="B353" s="4" t="s">
        <v>93</v>
      </c>
      <c r="C353" s="506">
        <v>1.6947500251719156</v>
      </c>
      <c r="D353" s="508">
        <v>0.17190597064517116</v>
      </c>
      <c r="E353" s="633">
        <v>2.2869092355653748</v>
      </c>
      <c r="F353" s="646">
        <v>10.668034808223336</v>
      </c>
      <c r="G353" s="508">
        <v>-4.0347119561867375</v>
      </c>
      <c r="H353" s="508">
        <v>0</v>
      </c>
      <c r="I353" s="508">
        <v>0</v>
      </c>
      <c r="J353" s="509">
        <v>1.6850043384784783</v>
      </c>
      <c r="K353" s="506">
        <v>0</v>
      </c>
      <c r="L353" s="507">
        <v>0</v>
      </c>
      <c r="M353" s="507">
        <v>0</v>
      </c>
      <c r="N353" s="507">
        <v>0</v>
      </c>
      <c r="O353" s="506">
        <v>0</v>
      </c>
      <c r="P353" s="506">
        <v>0</v>
      </c>
      <c r="Q353" s="507">
        <v>0</v>
      </c>
      <c r="R353" s="507">
        <v>0</v>
      </c>
      <c r="S353" s="515">
        <v>0</v>
      </c>
      <c r="T353" s="510"/>
      <c r="U353" s="528"/>
    </row>
    <row r="354" spans="1:21">
      <c r="A354" s="479"/>
      <c r="B354" s="4" t="s">
        <v>71</v>
      </c>
      <c r="C354" s="506">
        <v>5.2628445555754001E-2</v>
      </c>
      <c r="D354" s="508">
        <v>8.8393629395448717E-2</v>
      </c>
      <c r="E354" s="508">
        <v>0.25843680745665493</v>
      </c>
      <c r="F354" s="614">
        <v>0.36690760527969829</v>
      </c>
      <c r="G354" s="631">
        <v>0.17881301099935298</v>
      </c>
      <c r="H354" s="508">
        <v>7.3891625615763554E-2</v>
      </c>
      <c r="I354" s="508">
        <v>0</v>
      </c>
      <c r="J354" s="509">
        <v>0.13884453242523698</v>
      </c>
      <c r="K354" s="506">
        <v>0</v>
      </c>
      <c r="L354" s="507">
        <v>0</v>
      </c>
      <c r="M354" s="507">
        <v>0</v>
      </c>
      <c r="N354" s="507">
        <v>0</v>
      </c>
      <c r="O354" s="506">
        <v>0</v>
      </c>
      <c r="P354" s="506">
        <v>0</v>
      </c>
      <c r="Q354" s="507">
        <v>0</v>
      </c>
      <c r="R354" s="507">
        <v>0</v>
      </c>
      <c r="S354" s="515">
        <v>0</v>
      </c>
      <c r="T354" s="536"/>
      <c r="U354" s="542"/>
    </row>
    <row r="355" spans="1:21">
      <c r="A355" s="479"/>
      <c r="B355" s="4" t="s">
        <v>73</v>
      </c>
      <c r="C355" s="506">
        <v>7.2750982987888013E-2</v>
      </c>
      <c r="D355" s="508">
        <v>8.3875979121748656E-2</v>
      </c>
      <c r="E355" s="508">
        <v>0.27782304558382659</v>
      </c>
      <c r="F355" s="614">
        <v>0.18799717164574864</v>
      </c>
      <c r="G355" s="632">
        <v>0.2585051816183398</v>
      </c>
      <c r="H355" s="508">
        <v>0.19982920580700256</v>
      </c>
      <c r="I355" s="508">
        <v>0</v>
      </c>
      <c r="J355" s="509">
        <v>0.15443515169369929</v>
      </c>
      <c r="K355" s="506">
        <v>0</v>
      </c>
      <c r="L355" s="507">
        <v>0</v>
      </c>
      <c r="M355" s="507">
        <v>0</v>
      </c>
      <c r="N355" s="507">
        <v>0</v>
      </c>
      <c r="O355" s="506">
        <v>0</v>
      </c>
      <c r="P355" s="506">
        <v>0</v>
      </c>
      <c r="Q355" s="507">
        <v>0</v>
      </c>
      <c r="R355" s="507">
        <v>0</v>
      </c>
      <c r="S355" s="515">
        <v>0</v>
      </c>
      <c r="T355" s="543"/>
      <c r="U355" s="550"/>
    </row>
    <row r="356" spans="1:21" ht="13.5" thickBot="1">
      <c r="A356" s="479"/>
      <c r="B356" s="4" t="s">
        <v>99</v>
      </c>
      <c r="C356" s="506">
        <v>2.0122537432134013</v>
      </c>
      <c r="D356" s="508">
        <v>-0.45176502737000607</v>
      </c>
      <c r="E356" s="508">
        <v>1.9386238127171662</v>
      </c>
      <c r="F356" s="619">
        <v>-17.891043363394964</v>
      </c>
      <c r="G356" s="633">
        <v>7.9692170618986813</v>
      </c>
      <c r="H356" s="508">
        <v>12.593758019123902</v>
      </c>
      <c r="I356" s="508">
        <v>0</v>
      </c>
      <c r="J356" s="509">
        <v>1.5590619268462307</v>
      </c>
      <c r="K356" s="506">
        <v>0</v>
      </c>
      <c r="L356" s="507">
        <v>0</v>
      </c>
      <c r="M356" s="507">
        <v>0</v>
      </c>
      <c r="N356" s="507">
        <v>0</v>
      </c>
      <c r="O356" s="506">
        <v>0</v>
      </c>
      <c r="P356" s="506">
        <v>0</v>
      </c>
      <c r="Q356" s="507">
        <v>0</v>
      </c>
      <c r="R356" s="507">
        <v>0</v>
      </c>
      <c r="S356" s="515">
        <v>0</v>
      </c>
      <c r="T356" s="510"/>
      <c r="U356" s="528"/>
    </row>
    <row r="357" spans="1:21">
      <c r="A357" s="479"/>
      <c r="B357" s="4" t="s">
        <v>75</v>
      </c>
      <c r="C357" s="506">
        <v>1.8554900676708143E-3</v>
      </c>
      <c r="D357" s="508">
        <v>3.6237287124578723E-3</v>
      </c>
      <c r="E357" s="508">
        <v>1.4869312997001696E-3</v>
      </c>
      <c r="F357" s="508">
        <v>0</v>
      </c>
      <c r="G357" s="508">
        <v>2.8233633315687314E-3</v>
      </c>
      <c r="H357" s="508">
        <v>0</v>
      </c>
      <c r="I357" s="508">
        <v>0</v>
      </c>
      <c r="J357" s="509">
        <v>2.0468619223398157E-3</v>
      </c>
      <c r="K357" s="506">
        <v>0</v>
      </c>
      <c r="L357" s="507">
        <v>0</v>
      </c>
      <c r="M357" s="507">
        <v>0</v>
      </c>
      <c r="N357" s="507">
        <v>0</v>
      </c>
      <c r="O357" s="506">
        <v>0</v>
      </c>
      <c r="P357" s="506">
        <v>0</v>
      </c>
      <c r="Q357" s="507">
        <v>0</v>
      </c>
      <c r="R357" s="507">
        <v>0</v>
      </c>
      <c r="S357" s="515">
        <v>0</v>
      </c>
      <c r="T357" s="536"/>
      <c r="U357" s="542"/>
    </row>
    <row r="358" spans="1:21">
      <c r="A358" s="479"/>
      <c r="B358" s="4" t="s">
        <v>77</v>
      </c>
      <c r="C358" s="506">
        <v>5.4533599415146905E-3</v>
      </c>
      <c r="D358" s="508">
        <v>1.4809329877823029E-3</v>
      </c>
      <c r="E358" s="508">
        <v>8.1866400184487666E-4</v>
      </c>
      <c r="F358" s="508">
        <v>0</v>
      </c>
      <c r="G358" s="508">
        <v>1.8475871453993511E-2</v>
      </c>
      <c r="H358" s="508">
        <v>0</v>
      </c>
      <c r="I358" s="508">
        <v>0</v>
      </c>
      <c r="J358" s="509">
        <v>3.3088375696274353E-3</v>
      </c>
      <c r="K358" s="506">
        <v>0</v>
      </c>
      <c r="L358" s="507">
        <v>0</v>
      </c>
      <c r="M358" s="507">
        <v>0</v>
      </c>
      <c r="N358" s="507">
        <v>0</v>
      </c>
      <c r="O358" s="506">
        <v>0</v>
      </c>
      <c r="P358" s="506">
        <v>0</v>
      </c>
      <c r="Q358" s="507">
        <v>0</v>
      </c>
      <c r="R358" s="507">
        <v>0</v>
      </c>
      <c r="S358" s="515">
        <v>0</v>
      </c>
      <c r="T358" s="543"/>
      <c r="U358" s="550"/>
    </row>
    <row r="359" spans="1:21">
      <c r="A359" s="479"/>
      <c r="B359" s="4" t="s">
        <v>101</v>
      </c>
      <c r="C359" s="506">
        <v>0.35978698738438764</v>
      </c>
      <c r="D359" s="508">
        <v>-0.21427957246755694</v>
      </c>
      <c r="E359" s="508">
        <v>-6.6826729785529296E-2</v>
      </c>
      <c r="F359" s="508">
        <v>0</v>
      </c>
      <c r="G359" s="508">
        <v>1.5652508122424782</v>
      </c>
      <c r="H359" s="508">
        <v>0</v>
      </c>
      <c r="I359" s="508">
        <v>0</v>
      </c>
      <c r="J359" s="509">
        <v>0.12619756472876195</v>
      </c>
      <c r="K359" s="506">
        <v>0</v>
      </c>
      <c r="L359" s="507">
        <v>0</v>
      </c>
      <c r="M359" s="507">
        <v>0</v>
      </c>
      <c r="N359" s="507">
        <v>0</v>
      </c>
      <c r="O359" s="506">
        <v>0</v>
      </c>
      <c r="P359" s="506">
        <v>0</v>
      </c>
      <c r="Q359" s="507">
        <v>0</v>
      </c>
      <c r="R359" s="507">
        <v>0</v>
      </c>
      <c r="S359" s="515">
        <v>0</v>
      </c>
      <c r="T359" s="510"/>
      <c r="U359" s="528"/>
    </row>
    <row r="360" spans="1:21">
      <c r="A360" s="479"/>
      <c r="B360" s="4" t="s">
        <v>79</v>
      </c>
      <c r="C360" s="506">
        <v>1.2700680677105039E-3</v>
      </c>
      <c r="D360" s="508">
        <v>0</v>
      </c>
      <c r="E360" s="508">
        <v>1.9554165037152912E-4</v>
      </c>
      <c r="F360" s="508">
        <v>0</v>
      </c>
      <c r="G360" s="508">
        <v>0</v>
      </c>
      <c r="H360" s="508">
        <v>0</v>
      </c>
      <c r="I360" s="508">
        <v>0</v>
      </c>
      <c r="J360" s="509">
        <v>6.0564681537726044E-4</v>
      </c>
      <c r="K360" s="506">
        <v>0</v>
      </c>
      <c r="L360" s="507">
        <v>0</v>
      </c>
      <c r="M360" s="507">
        <v>0</v>
      </c>
      <c r="N360" s="507">
        <v>0</v>
      </c>
      <c r="O360" s="506">
        <v>0</v>
      </c>
      <c r="P360" s="506">
        <v>0</v>
      </c>
      <c r="Q360" s="507">
        <v>0</v>
      </c>
      <c r="R360" s="507">
        <v>0</v>
      </c>
      <c r="S360" s="515">
        <v>0</v>
      </c>
      <c r="T360" s="536"/>
      <c r="U360" s="542"/>
    </row>
    <row r="361" spans="1:21">
      <c r="A361" s="479"/>
      <c r="B361" s="4" t="s">
        <v>81</v>
      </c>
      <c r="C361" s="617">
        <v>4.2810192777591167E-4</v>
      </c>
      <c r="D361" s="508">
        <v>0</v>
      </c>
      <c r="E361" s="508">
        <v>0</v>
      </c>
      <c r="F361" s="508">
        <v>0</v>
      </c>
      <c r="G361" s="508">
        <v>0</v>
      </c>
      <c r="H361" s="508">
        <v>0</v>
      </c>
      <c r="I361" s="508">
        <v>0</v>
      </c>
      <c r="J361" s="509">
        <v>1.7730786646808186E-4</v>
      </c>
      <c r="K361" s="506">
        <v>0</v>
      </c>
      <c r="L361" s="507">
        <v>0</v>
      </c>
      <c r="M361" s="507">
        <v>0</v>
      </c>
      <c r="N361" s="507">
        <v>0</v>
      </c>
      <c r="O361" s="506">
        <v>0</v>
      </c>
      <c r="P361" s="506">
        <v>0</v>
      </c>
      <c r="Q361" s="507">
        <v>0</v>
      </c>
      <c r="R361" s="507">
        <v>0</v>
      </c>
      <c r="S361" s="515">
        <v>0</v>
      </c>
      <c r="T361" s="543"/>
      <c r="U361" s="550"/>
    </row>
    <row r="362" spans="1:21">
      <c r="A362" s="479"/>
      <c r="B362" s="4" t="s">
        <v>107</v>
      </c>
      <c r="C362" s="506">
        <v>-8.4196613993459235E-2</v>
      </c>
      <c r="D362" s="508">
        <v>0</v>
      </c>
      <c r="E362" s="508">
        <v>-1.9554165037152911E-2</v>
      </c>
      <c r="F362" s="508">
        <v>0</v>
      </c>
      <c r="G362" s="508">
        <v>0</v>
      </c>
      <c r="H362" s="508">
        <v>0</v>
      </c>
      <c r="I362" s="508">
        <v>0</v>
      </c>
      <c r="J362" s="509">
        <v>-4.2833894890917858E-2</v>
      </c>
      <c r="K362" s="506">
        <v>0</v>
      </c>
      <c r="L362" s="507">
        <v>0</v>
      </c>
      <c r="M362" s="507">
        <v>0</v>
      </c>
      <c r="N362" s="507">
        <v>0</v>
      </c>
      <c r="O362" s="506">
        <v>0</v>
      </c>
      <c r="P362" s="506">
        <v>0</v>
      </c>
      <c r="Q362" s="507">
        <v>0</v>
      </c>
      <c r="R362" s="507">
        <v>0</v>
      </c>
      <c r="S362" s="515">
        <v>0</v>
      </c>
      <c r="T362" s="551"/>
      <c r="U362" s="554"/>
    </row>
    <row r="363" spans="1:21">
      <c r="A363" s="479"/>
      <c r="B363" s="4" t="s">
        <v>83</v>
      </c>
      <c r="C363" s="506">
        <v>0</v>
      </c>
      <c r="D363" s="508">
        <v>0</v>
      </c>
      <c r="E363" s="508">
        <v>0</v>
      </c>
      <c r="F363" s="508">
        <v>0</v>
      </c>
      <c r="G363" s="508">
        <v>0</v>
      </c>
      <c r="H363" s="508">
        <v>0</v>
      </c>
      <c r="I363" s="508">
        <v>0</v>
      </c>
      <c r="J363" s="509">
        <v>0</v>
      </c>
      <c r="K363" s="506">
        <v>0</v>
      </c>
      <c r="L363" s="507">
        <v>0</v>
      </c>
      <c r="M363" s="507">
        <v>0</v>
      </c>
      <c r="N363" s="507">
        <v>0</v>
      </c>
      <c r="O363" s="506">
        <v>0</v>
      </c>
      <c r="P363" s="506">
        <v>0</v>
      </c>
      <c r="Q363" s="507">
        <v>0</v>
      </c>
      <c r="R363" s="507">
        <v>0</v>
      </c>
      <c r="S363" s="515">
        <v>0</v>
      </c>
      <c r="T363" s="506"/>
      <c r="U363" s="527"/>
    </row>
    <row r="364" spans="1:21">
      <c r="A364" s="479"/>
      <c r="B364" s="4" t="s">
        <v>85</v>
      </c>
      <c r="C364" s="506">
        <v>0</v>
      </c>
      <c r="D364" s="508">
        <v>0</v>
      </c>
      <c r="E364" s="508">
        <v>0</v>
      </c>
      <c r="F364" s="508">
        <v>0</v>
      </c>
      <c r="G364" s="508">
        <v>0</v>
      </c>
      <c r="H364" s="508">
        <v>0</v>
      </c>
      <c r="I364" s="508">
        <v>0</v>
      </c>
      <c r="J364" s="509">
        <v>0</v>
      </c>
      <c r="K364" s="506">
        <v>0</v>
      </c>
      <c r="L364" s="507">
        <v>0</v>
      </c>
      <c r="M364" s="507">
        <v>0</v>
      </c>
      <c r="N364" s="507">
        <v>0</v>
      </c>
      <c r="O364" s="506">
        <v>0</v>
      </c>
      <c r="P364" s="506">
        <v>0</v>
      </c>
      <c r="Q364" s="507">
        <v>0</v>
      </c>
      <c r="R364" s="507">
        <v>0</v>
      </c>
      <c r="S364" s="515">
        <v>0</v>
      </c>
      <c r="T364" s="506"/>
      <c r="U364" s="527"/>
    </row>
    <row r="365" spans="1:21">
      <c r="A365" s="502"/>
      <c r="B365" s="4" t="s">
        <v>109</v>
      </c>
      <c r="C365" s="506">
        <v>0</v>
      </c>
      <c r="D365" s="508">
        <v>0</v>
      </c>
      <c r="E365" s="508">
        <v>0</v>
      </c>
      <c r="F365" s="508">
        <v>0</v>
      </c>
      <c r="G365" s="508">
        <v>0</v>
      </c>
      <c r="H365" s="508">
        <v>0</v>
      </c>
      <c r="I365" s="508">
        <v>0</v>
      </c>
      <c r="J365" s="509">
        <v>0</v>
      </c>
      <c r="K365" s="506">
        <v>0</v>
      </c>
      <c r="L365" s="507">
        <v>0</v>
      </c>
      <c r="M365" s="507">
        <v>0</v>
      </c>
      <c r="N365" s="507">
        <v>0</v>
      </c>
      <c r="O365" s="506">
        <v>0</v>
      </c>
      <c r="P365" s="506">
        <v>0</v>
      </c>
      <c r="Q365" s="507">
        <v>0</v>
      </c>
      <c r="R365" s="507">
        <v>0</v>
      </c>
      <c r="S365" s="515">
        <v>0</v>
      </c>
      <c r="T365" s="510"/>
      <c r="U365" s="528"/>
    </row>
    <row r="366" spans="1:21">
      <c r="A366" s="478" t="s">
        <v>132</v>
      </c>
      <c r="B366" s="3" t="s">
        <v>39</v>
      </c>
      <c r="C366" s="463">
        <v>0.93912562309612757</v>
      </c>
      <c r="D366" s="464">
        <v>0</v>
      </c>
      <c r="E366" s="464">
        <v>0.96204560547371032</v>
      </c>
      <c r="F366" s="464">
        <v>0</v>
      </c>
      <c r="G366" s="464">
        <v>0.86525478248652321</v>
      </c>
      <c r="H366" s="464">
        <v>0.81261498381833563</v>
      </c>
      <c r="I366" s="464">
        <v>0</v>
      </c>
      <c r="J366" s="466">
        <v>0.91878003774302963</v>
      </c>
      <c r="K366" s="463">
        <v>0.81724081958820816</v>
      </c>
      <c r="L366" s="464">
        <v>0.75033057201466669</v>
      </c>
      <c r="M366" s="464">
        <v>0.77111060151019928</v>
      </c>
      <c r="N366" s="464">
        <v>0.74918577702731037</v>
      </c>
      <c r="O366" s="463">
        <v>0.75950423984104365</v>
      </c>
      <c r="P366" s="463">
        <v>0</v>
      </c>
      <c r="Q366" s="464">
        <v>0</v>
      </c>
      <c r="R366" s="464">
        <v>0</v>
      </c>
      <c r="S366" s="516">
        <v>0</v>
      </c>
      <c r="T366" s="536"/>
      <c r="U366" s="542"/>
    </row>
    <row r="367" spans="1:21">
      <c r="A367" s="479"/>
      <c r="B367" s="4" t="s">
        <v>41</v>
      </c>
      <c r="C367" s="506">
        <v>0.94046746343831655</v>
      </c>
      <c r="D367" s="508">
        <v>0</v>
      </c>
      <c r="E367" s="508">
        <v>0.93386618664214371</v>
      </c>
      <c r="F367" s="508">
        <v>0</v>
      </c>
      <c r="G367" s="508">
        <v>0.85787859072030015</v>
      </c>
      <c r="H367" s="508">
        <v>0.78503093972284976</v>
      </c>
      <c r="I367" s="508">
        <v>0</v>
      </c>
      <c r="J367" s="509">
        <v>0.90887665903725456</v>
      </c>
      <c r="K367" s="506">
        <v>0.78881825405834938</v>
      </c>
      <c r="L367" s="507">
        <v>0.75181229164472696</v>
      </c>
      <c r="M367" s="507">
        <v>0.76986315145522044</v>
      </c>
      <c r="N367" s="507">
        <v>0.70469345768755998</v>
      </c>
      <c r="O367" s="506">
        <v>0.74644821874914558</v>
      </c>
      <c r="P367" s="506">
        <v>0</v>
      </c>
      <c r="Q367" s="507">
        <v>0</v>
      </c>
      <c r="R367" s="507">
        <v>0</v>
      </c>
      <c r="S367" s="515">
        <v>0</v>
      </c>
      <c r="T367" s="543"/>
      <c r="U367" s="550"/>
    </row>
    <row r="368" spans="1:21">
      <c r="A368" s="479"/>
      <c r="B368" s="505" t="s">
        <v>87</v>
      </c>
      <c r="C368" s="510">
        <v>0.13418403421889824</v>
      </c>
      <c r="D368" s="512">
        <v>0</v>
      </c>
      <c r="E368" s="512">
        <v>-2.8179418831566605</v>
      </c>
      <c r="F368" s="512">
        <v>0</v>
      </c>
      <c r="G368" s="512">
        <v>-0.73761917662230614</v>
      </c>
      <c r="H368" s="512">
        <v>-2.7584044095485871</v>
      </c>
      <c r="I368" s="512">
        <v>0</v>
      </c>
      <c r="J368" s="514">
        <v>-0.99033787057750677</v>
      </c>
      <c r="K368" s="510">
        <v>-2.8422565529858779</v>
      </c>
      <c r="L368" s="511">
        <v>0.14817196300602742</v>
      </c>
      <c r="M368" s="511">
        <v>-0.12474500549788381</v>
      </c>
      <c r="N368" s="511">
        <v>-4.4492319339750397</v>
      </c>
      <c r="O368" s="510">
        <v>-1.3056021091898073</v>
      </c>
      <c r="P368" s="510">
        <v>0</v>
      </c>
      <c r="Q368" s="511">
        <v>0</v>
      </c>
      <c r="R368" s="511">
        <v>0</v>
      </c>
      <c r="S368" s="517">
        <v>0</v>
      </c>
      <c r="T368" s="510"/>
      <c r="U368" s="528"/>
    </row>
    <row r="369" spans="1:21">
      <c r="A369" s="479"/>
      <c r="B369" s="4" t="s">
        <v>43</v>
      </c>
      <c r="C369" s="506">
        <v>9.0030555428332153E-3</v>
      </c>
      <c r="D369" s="508">
        <v>0</v>
      </c>
      <c r="E369" s="508">
        <v>5.1565301311801703E-3</v>
      </c>
      <c r="F369" s="508">
        <v>0</v>
      </c>
      <c r="G369" s="508">
        <v>2.8968520997093906E-3</v>
      </c>
      <c r="H369" s="508">
        <v>1.3408623954234762E-2</v>
      </c>
      <c r="I369" s="508">
        <v>0</v>
      </c>
      <c r="J369" s="509">
        <v>6.9554887128788923E-3</v>
      </c>
      <c r="K369" s="506">
        <v>0.18275918041179187</v>
      </c>
      <c r="L369" s="507">
        <v>5.9277816294877383E-2</v>
      </c>
      <c r="M369" s="507">
        <v>3.5818190358043761E-2</v>
      </c>
      <c r="N369" s="507">
        <v>7.5358607559903049E-2</v>
      </c>
      <c r="O369" s="506">
        <v>6.4538126937022891E-2</v>
      </c>
      <c r="P369" s="506">
        <v>0</v>
      </c>
      <c r="Q369" s="507">
        <v>0</v>
      </c>
      <c r="R369" s="507">
        <v>0</v>
      </c>
      <c r="S369" s="515">
        <v>0</v>
      </c>
      <c r="T369" s="536"/>
      <c r="U369" s="542"/>
    </row>
    <row r="370" spans="1:21">
      <c r="A370" s="479"/>
      <c r="B370" s="4" t="s">
        <v>45</v>
      </c>
      <c r="C370" s="506">
        <v>6.4438697647789282E-3</v>
      </c>
      <c r="D370" s="508">
        <v>0</v>
      </c>
      <c r="E370" s="508">
        <v>5.4257119657199881E-3</v>
      </c>
      <c r="F370" s="508">
        <v>0</v>
      </c>
      <c r="G370" s="508">
        <v>2.2998766842435752E-3</v>
      </c>
      <c r="H370" s="508">
        <v>1.6284417508598093E-2</v>
      </c>
      <c r="I370" s="508">
        <v>0</v>
      </c>
      <c r="J370" s="509">
        <v>5.8844539932055044E-3</v>
      </c>
      <c r="K370" s="506">
        <v>0.21118174594165059</v>
      </c>
      <c r="L370" s="507">
        <v>4.5977567118236168E-2</v>
      </c>
      <c r="M370" s="507">
        <v>3.6400763156203997E-2</v>
      </c>
      <c r="N370" s="507">
        <v>8.3335619256617754E-2</v>
      </c>
      <c r="O370" s="506">
        <v>6.3780249318999102E-2</v>
      </c>
      <c r="P370" s="506">
        <v>0</v>
      </c>
      <c r="Q370" s="507">
        <v>0</v>
      </c>
      <c r="R370" s="507">
        <v>0</v>
      </c>
      <c r="S370" s="515">
        <v>0</v>
      </c>
      <c r="T370" s="543"/>
      <c r="U370" s="550"/>
    </row>
    <row r="371" spans="1:21">
      <c r="A371" s="479"/>
      <c r="B371" s="4" t="s">
        <v>95</v>
      </c>
      <c r="C371" s="506">
        <v>-0.2559185778054287</v>
      </c>
      <c r="D371" s="508">
        <v>0</v>
      </c>
      <c r="E371" s="508">
        <v>2.6918183453981774E-2</v>
      </c>
      <c r="F371" s="508">
        <v>0</v>
      </c>
      <c r="G371" s="508">
        <v>-5.9697541546581544E-2</v>
      </c>
      <c r="H371" s="508">
        <v>0.28757935543633312</v>
      </c>
      <c r="I371" s="508">
        <v>0</v>
      </c>
      <c r="J371" s="509">
        <v>-0.1071034719673388</v>
      </c>
      <c r="K371" s="506">
        <v>2.8422565529858721</v>
      </c>
      <c r="L371" s="507">
        <v>-1.3300249176641215</v>
      </c>
      <c r="M371" s="507">
        <v>5.8257279816023577E-2</v>
      </c>
      <c r="N371" s="507">
        <v>0.79770116967147064</v>
      </c>
      <c r="O371" s="506">
        <v>-7.5787761802378895E-2</v>
      </c>
      <c r="P371" s="506">
        <v>0</v>
      </c>
      <c r="Q371" s="507">
        <v>0</v>
      </c>
      <c r="R371" s="507">
        <v>0</v>
      </c>
      <c r="S371" s="515">
        <v>0</v>
      </c>
      <c r="T371" s="510"/>
      <c r="U371" s="528"/>
    </row>
    <row r="372" spans="1:21">
      <c r="A372" s="479"/>
      <c r="B372" s="4" t="s">
        <v>49</v>
      </c>
      <c r="C372" s="506">
        <v>4.7135183234426219E-2</v>
      </c>
      <c r="D372" s="508">
        <v>0</v>
      </c>
      <c r="E372" s="508">
        <v>2.5549374575541003E-2</v>
      </c>
      <c r="F372" s="508">
        <v>0</v>
      </c>
      <c r="G372" s="508">
        <v>7.5212780904069271E-2</v>
      </c>
      <c r="H372" s="508">
        <v>0.15038876280768662</v>
      </c>
      <c r="I372" s="508">
        <v>0</v>
      </c>
      <c r="J372" s="509">
        <v>5.5467589351647376E-2</v>
      </c>
      <c r="K372" s="506">
        <v>0</v>
      </c>
      <c r="L372" s="507">
        <v>0.16199994281997585</v>
      </c>
      <c r="M372" s="507">
        <v>0.15626666371957706</v>
      </c>
      <c r="N372" s="507">
        <v>0.1338149246721442</v>
      </c>
      <c r="O372" s="506">
        <v>0.1435123848085175</v>
      </c>
      <c r="P372" s="506">
        <v>0</v>
      </c>
      <c r="Q372" s="507">
        <v>0</v>
      </c>
      <c r="R372" s="507">
        <v>0</v>
      </c>
      <c r="S372" s="515">
        <v>0</v>
      </c>
      <c r="T372" s="536"/>
      <c r="U372" s="542"/>
    </row>
    <row r="373" spans="1:21">
      <c r="A373" s="479"/>
      <c r="B373" s="4" t="s">
        <v>51</v>
      </c>
      <c r="C373" s="506">
        <v>5.1415562385518074E-2</v>
      </c>
      <c r="D373" s="508">
        <v>0</v>
      </c>
      <c r="E373" s="508">
        <v>5.1314360624944967E-2</v>
      </c>
      <c r="F373" s="508">
        <v>0</v>
      </c>
      <c r="G373" s="508">
        <v>7.8855887003427119E-2</v>
      </c>
      <c r="H373" s="508">
        <v>0.17117074838597221</v>
      </c>
      <c r="I373" s="508">
        <v>0</v>
      </c>
      <c r="J373" s="509">
        <v>6.5954378274889161E-2</v>
      </c>
      <c r="K373" s="506">
        <v>0</v>
      </c>
      <c r="L373" s="507">
        <v>0.17919373522846355</v>
      </c>
      <c r="M373" s="507">
        <v>0.16231595002053148</v>
      </c>
      <c r="N373" s="507">
        <v>0.16209573446715128</v>
      </c>
      <c r="O373" s="506">
        <v>0.15900453712803969</v>
      </c>
      <c r="P373" s="506">
        <v>0</v>
      </c>
      <c r="Q373" s="507">
        <v>0</v>
      </c>
      <c r="R373" s="507">
        <v>0</v>
      </c>
      <c r="S373" s="515">
        <v>0</v>
      </c>
      <c r="T373" s="543"/>
      <c r="U373" s="550"/>
    </row>
    <row r="374" spans="1:21">
      <c r="A374" s="479"/>
      <c r="B374" s="4" t="s">
        <v>97</v>
      </c>
      <c r="C374" s="506">
        <v>0.42803791510918554</v>
      </c>
      <c r="D374" s="508">
        <v>0</v>
      </c>
      <c r="E374" s="508">
        <v>2.5764986049403964</v>
      </c>
      <c r="F374" s="508">
        <v>0</v>
      </c>
      <c r="G374" s="508">
        <v>0.36431060993578485</v>
      </c>
      <c r="H374" s="508">
        <v>2.0781985578285589</v>
      </c>
      <c r="I374" s="508">
        <v>0</v>
      </c>
      <c r="J374" s="509">
        <v>1.0486788923241785</v>
      </c>
      <c r="K374" s="506">
        <v>0</v>
      </c>
      <c r="L374" s="507">
        <v>1.7193792408487703</v>
      </c>
      <c r="M374" s="507">
        <v>0.60492863009544151</v>
      </c>
      <c r="N374" s="507">
        <v>2.828080979500708</v>
      </c>
      <c r="O374" s="506">
        <v>1.5492152319522194</v>
      </c>
      <c r="P374" s="506">
        <v>0</v>
      </c>
      <c r="Q374" s="507">
        <v>0</v>
      </c>
      <c r="R374" s="507">
        <v>0</v>
      </c>
      <c r="S374" s="515">
        <v>0</v>
      </c>
      <c r="T374" s="510"/>
      <c r="U374" s="528"/>
    </row>
    <row r="375" spans="1:21">
      <c r="A375" s="479"/>
      <c r="B375" s="4" t="s">
        <v>53</v>
      </c>
      <c r="C375" s="506">
        <v>2.9882442452697036E-3</v>
      </c>
      <c r="D375" s="508">
        <v>0</v>
      </c>
      <c r="E375" s="508">
        <v>1.2115306109011417E-3</v>
      </c>
      <c r="F375" s="508">
        <v>0</v>
      </c>
      <c r="G375" s="508">
        <v>4.3434294883645266E-2</v>
      </c>
      <c r="H375" s="508">
        <v>2.3567486269085634E-2</v>
      </c>
      <c r="I375" s="508">
        <v>0</v>
      </c>
      <c r="J375" s="509">
        <v>1.34623206900585E-2</v>
      </c>
      <c r="K375" s="506">
        <v>0</v>
      </c>
      <c r="L375" s="507">
        <v>1.4902543796324753E-3</v>
      </c>
      <c r="M375" s="507">
        <v>1.669065781803011E-2</v>
      </c>
      <c r="N375" s="507">
        <v>3.8688520923783137E-2</v>
      </c>
      <c r="O375" s="506">
        <v>1.5237974733828319E-2</v>
      </c>
      <c r="P375" s="506">
        <v>0</v>
      </c>
      <c r="Q375" s="507">
        <v>0</v>
      </c>
      <c r="R375" s="507">
        <v>0</v>
      </c>
      <c r="S375" s="515">
        <v>0</v>
      </c>
      <c r="T375" s="536"/>
      <c r="U375" s="542"/>
    </row>
    <row r="376" spans="1:21">
      <c r="A376" s="479"/>
      <c r="B376" s="4" t="s">
        <v>55</v>
      </c>
      <c r="C376" s="506">
        <v>6.1895192097531353E-5</v>
      </c>
      <c r="D376" s="508">
        <v>0</v>
      </c>
      <c r="E376" s="669">
        <v>2.741226997466175E-3</v>
      </c>
      <c r="F376" s="508">
        <v>0</v>
      </c>
      <c r="G376" s="508">
        <v>5.0733463962294126E-2</v>
      </c>
      <c r="H376" s="508">
        <v>2.7507190217281999E-2</v>
      </c>
      <c r="I376" s="508">
        <v>0</v>
      </c>
      <c r="J376" s="509">
        <v>1.4571457361662925E-2</v>
      </c>
      <c r="K376" s="506">
        <v>0</v>
      </c>
      <c r="L376" s="507">
        <v>1.0133986143888792E-3</v>
      </c>
      <c r="M376" s="507">
        <v>1.3494903446214528E-2</v>
      </c>
      <c r="N376" s="507">
        <v>4.8031820052119048E-2</v>
      </c>
      <c r="O376" s="506">
        <v>1.6496554344087849E-2</v>
      </c>
      <c r="P376" s="506">
        <v>0</v>
      </c>
      <c r="Q376" s="507">
        <v>0</v>
      </c>
      <c r="R376" s="507">
        <v>0</v>
      </c>
      <c r="S376" s="515">
        <v>0</v>
      </c>
      <c r="T376" s="543"/>
      <c r="U376" s="550"/>
    </row>
    <row r="377" spans="1:21">
      <c r="A377" s="479"/>
      <c r="B377" s="4" t="s">
        <v>103</v>
      </c>
      <c r="C377" s="506">
        <v>-0.29263490531721725</v>
      </c>
      <c r="D377" s="508">
        <v>0</v>
      </c>
      <c r="E377" s="508">
        <v>0.15296963865650334</v>
      </c>
      <c r="F377" s="508">
        <v>0</v>
      </c>
      <c r="G377" s="508">
        <v>0.72991690786488594</v>
      </c>
      <c r="H377" s="508">
        <v>0.39397039481963647</v>
      </c>
      <c r="I377" s="508">
        <v>0</v>
      </c>
      <c r="J377" s="509">
        <v>0.1109136671604425</v>
      </c>
      <c r="K377" s="506">
        <v>0</v>
      </c>
      <c r="L377" s="507">
        <v>-4.7685576524359612E-2</v>
      </c>
      <c r="M377" s="507">
        <v>-0.31957543718155823</v>
      </c>
      <c r="N377" s="507">
        <v>0.93432991283359113</v>
      </c>
      <c r="O377" s="506">
        <v>0.12585796102595298</v>
      </c>
      <c r="P377" s="506">
        <v>0</v>
      </c>
      <c r="Q377" s="507">
        <v>0</v>
      </c>
      <c r="R377" s="507">
        <v>0</v>
      </c>
      <c r="S377" s="515">
        <v>0</v>
      </c>
      <c r="T377" s="510"/>
      <c r="U377" s="528"/>
    </row>
    <row r="378" spans="1:21">
      <c r="A378" s="479"/>
      <c r="B378" s="4" t="s">
        <v>57</v>
      </c>
      <c r="C378" s="506">
        <v>2.8414959354456992E-4</v>
      </c>
      <c r="D378" s="508">
        <v>0</v>
      </c>
      <c r="E378" s="508">
        <v>6.0369592086673349E-3</v>
      </c>
      <c r="F378" s="508">
        <v>0</v>
      </c>
      <c r="G378" s="508">
        <v>1.3201289626052812E-2</v>
      </c>
      <c r="H378" s="508">
        <v>0</v>
      </c>
      <c r="I378" s="508">
        <v>0</v>
      </c>
      <c r="J378" s="509">
        <v>4.6497946129768286E-3</v>
      </c>
      <c r="K378" s="506">
        <v>0</v>
      </c>
      <c r="L378" s="507">
        <v>8.230349727322759E-3</v>
      </c>
      <c r="M378" s="507">
        <v>2.0113886594149841E-2</v>
      </c>
      <c r="N378" s="507">
        <v>2.952169816859238E-3</v>
      </c>
      <c r="O378" s="506">
        <v>9.5206077534617222E-3</v>
      </c>
      <c r="P378" s="506">
        <v>0</v>
      </c>
      <c r="Q378" s="507">
        <v>0</v>
      </c>
      <c r="R378" s="507">
        <v>0</v>
      </c>
      <c r="S378" s="515">
        <v>0</v>
      </c>
      <c r="T378" s="536"/>
      <c r="U378" s="542"/>
    </row>
    <row r="379" spans="1:21">
      <c r="A379" s="479"/>
      <c r="B379" s="4" t="s">
        <v>59</v>
      </c>
      <c r="C379" s="506">
        <v>3.7233826496171202E-4</v>
      </c>
      <c r="D379" s="508">
        <v>0</v>
      </c>
      <c r="E379" s="508">
        <v>6.6525137697251921E-3</v>
      </c>
      <c r="F379" s="508">
        <v>0</v>
      </c>
      <c r="G379" s="508">
        <v>1.0232181629734985E-2</v>
      </c>
      <c r="H379" s="669">
        <v>6.7041652978995853E-6</v>
      </c>
      <c r="I379" s="508">
        <v>0</v>
      </c>
      <c r="J379" s="509">
        <v>4.1367967985259397E-3</v>
      </c>
      <c r="K379" s="506">
        <v>0</v>
      </c>
      <c r="L379" s="507">
        <v>4.9737673050329828E-3</v>
      </c>
      <c r="M379" s="507">
        <v>1.7925231921829564E-2</v>
      </c>
      <c r="N379" s="507">
        <v>1.8433685365519133E-3</v>
      </c>
      <c r="O379" s="506">
        <v>7.1733534024143331E-3</v>
      </c>
      <c r="P379" s="506">
        <v>0</v>
      </c>
      <c r="Q379" s="507">
        <v>0</v>
      </c>
      <c r="R379" s="507">
        <v>0</v>
      </c>
      <c r="S379" s="515">
        <v>0</v>
      </c>
      <c r="T379" s="543"/>
      <c r="U379" s="550"/>
    </row>
    <row r="380" spans="1:21">
      <c r="A380" s="479"/>
      <c r="B380" s="4" t="s">
        <v>105</v>
      </c>
      <c r="C380" s="506">
        <v>8.8188671417142109E-3</v>
      </c>
      <c r="D380" s="508">
        <v>0</v>
      </c>
      <c r="E380" s="508">
        <v>6.1555456105785722E-2</v>
      </c>
      <c r="F380" s="508">
        <v>0</v>
      </c>
      <c r="G380" s="508">
        <v>-0.29691079963178274</v>
      </c>
      <c r="H380" s="508">
        <v>0</v>
      </c>
      <c r="I380" s="508">
        <v>0</v>
      </c>
      <c r="J380" s="509">
        <v>-5.1299781445088899E-2</v>
      </c>
      <c r="K380" s="506">
        <v>0</v>
      </c>
      <c r="L380" s="507">
        <v>-0.3256582422289776</v>
      </c>
      <c r="M380" s="507">
        <v>-0.21886546723202777</v>
      </c>
      <c r="N380" s="507">
        <v>-0.11088012803073247</v>
      </c>
      <c r="O380" s="506">
        <v>-0.23472543510473892</v>
      </c>
      <c r="P380" s="506">
        <v>0</v>
      </c>
      <c r="Q380" s="507">
        <v>0</v>
      </c>
      <c r="R380" s="507">
        <v>0</v>
      </c>
      <c r="S380" s="515">
        <v>0</v>
      </c>
      <c r="T380" s="510"/>
      <c r="U380" s="528"/>
    </row>
    <row r="381" spans="1:21">
      <c r="A381" s="479"/>
      <c r="B381" s="4" t="s">
        <v>61</v>
      </c>
      <c r="C381" s="506">
        <v>1.4637442877986726E-3</v>
      </c>
      <c r="D381" s="508">
        <v>0</v>
      </c>
      <c r="E381" s="508">
        <v>0</v>
      </c>
      <c r="F381" s="508">
        <v>0</v>
      </c>
      <c r="G381" s="508">
        <v>0</v>
      </c>
      <c r="H381" s="508">
        <v>2.0143150657338151E-5</v>
      </c>
      <c r="I381" s="508">
        <v>0</v>
      </c>
      <c r="J381" s="509">
        <v>6.8476888940873328E-4</v>
      </c>
      <c r="K381" s="506">
        <v>0</v>
      </c>
      <c r="L381" s="507">
        <v>1.8671064763524862E-2</v>
      </c>
      <c r="M381" s="507">
        <v>0</v>
      </c>
      <c r="N381" s="507">
        <v>0</v>
      </c>
      <c r="O381" s="506">
        <v>7.68666592612591E-3</v>
      </c>
      <c r="P381" s="506">
        <v>0</v>
      </c>
      <c r="Q381" s="507">
        <v>0</v>
      </c>
      <c r="R381" s="507">
        <v>0</v>
      </c>
      <c r="S381" s="515">
        <v>0</v>
      </c>
      <c r="T381" s="536"/>
      <c r="U381" s="542"/>
    </row>
    <row r="382" spans="1:21">
      <c r="A382" s="479"/>
      <c r="B382" s="4" t="s">
        <v>63</v>
      </c>
      <c r="C382" s="506">
        <v>1.2388709543271509E-3</v>
      </c>
      <c r="D382" s="508">
        <v>0</v>
      </c>
      <c r="E382" s="508">
        <v>0</v>
      </c>
      <c r="F382" s="508">
        <v>0</v>
      </c>
      <c r="G382" s="508">
        <v>0</v>
      </c>
      <c r="H382" s="508">
        <v>0</v>
      </c>
      <c r="I382" s="508">
        <v>0</v>
      </c>
      <c r="J382" s="509">
        <v>5.7625453446191049E-4</v>
      </c>
      <c r="K382" s="506">
        <v>0</v>
      </c>
      <c r="L382" s="507">
        <v>1.7029240089151455E-2</v>
      </c>
      <c r="M382" s="507">
        <v>0</v>
      </c>
      <c r="N382" s="507">
        <v>0</v>
      </c>
      <c r="O382" s="506">
        <v>7.0970870573134389E-3</v>
      </c>
      <c r="P382" s="506">
        <v>0</v>
      </c>
      <c r="Q382" s="507">
        <v>0</v>
      </c>
      <c r="R382" s="507">
        <v>0</v>
      </c>
      <c r="S382" s="515">
        <v>0</v>
      </c>
      <c r="T382" s="543"/>
      <c r="U382" s="550"/>
    </row>
    <row r="383" spans="1:21">
      <c r="A383" s="479"/>
      <c r="B383" s="4" t="s">
        <v>91</v>
      </c>
      <c r="C383" s="506">
        <v>-2.2487333347152166E-2</v>
      </c>
      <c r="D383" s="508">
        <v>0</v>
      </c>
      <c r="E383" s="508">
        <v>0</v>
      </c>
      <c r="F383" s="508">
        <v>0</v>
      </c>
      <c r="G383" s="508">
        <v>0</v>
      </c>
      <c r="H383" s="508">
        <v>-2.0143150657338151E-3</v>
      </c>
      <c r="I383" s="508">
        <v>0</v>
      </c>
      <c r="J383" s="509">
        <v>-1.0851435494682279E-2</v>
      </c>
      <c r="K383" s="506">
        <v>0</v>
      </c>
      <c r="L383" s="507">
        <v>-0.16418246743734077</v>
      </c>
      <c r="M383" s="507">
        <v>0</v>
      </c>
      <c r="N383" s="507">
        <v>0</v>
      </c>
      <c r="O383" s="506">
        <v>-5.8957886881247104E-2</v>
      </c>
      <c r="P383" s="506">
        <v>0</v>
      </c>
      <c r="Q383" s="507">
        <v>0</v>
      </c>
      <c r="R383" s="507">
        <v>0</v>
      </c>
      <c r="S383" s="515">
        <v>0</v>
      </c>
      <c r="T383" s="510"/>
      <c r="U383" s="528"/>
    </row>
    <row r="384" spans="1:21">
      <c r="A384" s="479"/>
      <c r="B384" s="4" t="s">
        <v>47</v>
      </c>
      <c r="C384" s="631">
        <v>0.65091924730938133</v>
      </c>
      <c r="D384" s="508">
        <v>0</v>
      </c>
      <c r="E384" s="508">
        <v>0.90145739608307962</v>
      </c>
      <c r="F384" s="508">
        <v>0</v>
      </c>
      <c r="G384" s="631">
        <v>0.59454048706957463</v>
      </c>
      <c r="H384" s="508">
        <v>0</v>
      </c>
      <c r="I384" s="508">
        <v>0</v>
      </c>
      <c r="J384" s="509">
        <v>0.67796377875673031</v>
      </c>
      <c r="K384" s="506">
        <v>0</v>
      </c>
      <c r="L384" s="507">
        <v>0</v>
      </c>
      <c r="M384" s="507">
        <v>0</v>
      </c>
      <c r="N384" s="507">
        <v>0</v>
      </c>
      <c r="O384" s="506">
        <v>0</v>
      </c>
      <c r="P384" s="506">
        <v>0</v>
      </c>
      <c r="Q384" s="507">
        <v>0</v>
      </c>
      <c r="R384" s="507">
        <v>0</v>
      </c>
      <c r="S384" s="515">
        <v>0</v>
      </c>
      <c r="T384" s="536"/>
      <c r="U384" s="542"/>
    </row>
    <row r="385" spans="1:21">
      <c r="A385" s="479"/>
      <c r="B385" s="4" t="s">
        <v>65</v>
      </c>
      <c r="C385" s="632">
        <v>0.76215507585785558</v>
      </c>
      <c r="D385" s="508">
        <v>0</v>
      </c>
      <c r="E385" s="508">
        <v>0.86836857847510096</v>
      </c>
      <c r="F385" s="508">
        <v>0</v>
      </c>
      <c r="G385" s="632">
        <v>0.64712571912768135</v>
      </c>
      <c r="H385" s="508">
        <v>0</v>
      </c>
      <c r="I385" s="508">
        <v>0</v>
      </c>
      <c r="J385" s="509">
        <v>0.75753032120485142</v>
      </c>
      <c r="K385" s="506">
        <v>0</v>
      </c>
      <c r="L385" s="507">
        <v>0</v>
      </c>
      <c r="M385" s="507">
        <v>0</v>
      </c>
      <c r="N385" s="507">
        <v>0</v>
      </c>
      <c r="O385" s="506">
        <v>0</v>
      </c>
      <c r="P385" s="506">
        <v>0</v>
      </c>
      <c r="Q385" s="507">
        <v>0</v>
      </c>
      <c r="R385" s="507">
        <v>0</v>
      </c>
      <c r="S385" s="515">
        <v>0</v>
      </c>
      <c r="T385" s="543"/>
      <c r="U385" s="550"/>
    </row>
    <row r="386" spans="1:21">
      <c r="A386" s="479"/>
      <c r="B386" s="4" t="s">
        <v>89</v>
      </c>
      <c r="C386" s="633">
        <v>11.123582854847424</v>
      </c>
      <c r="D386" s="508">
        <v>0</v>
      </c>
      <c r="E386" s="508">
        <v>-3.308881760797866</v>
      </c>
      <c r="F386" s="508">
        <v>0</v>
      </c>
      <c r="G386" s="633">
        <v>5.2585232058106719</v>
      </c>
      <c r="H386" s="508">
        <v>0</v>
      </c>
      <c r="I386" s="508">
        <v>0</v>
      </c>
      <c r="J386" s="509">
        <v>7.9566542448121114</v>
      </c>
      <c r="K386" s="506">
        <v>0</v>
      </c>
      <c r="L386" s="507">
        <v>0</v>
      </c>
      <c r="M386" s="507">
        <v>0</v>
      </c>
      <c r="N386" s="507">
        <v>0</v>
      </c>
      <c r="O386" s="506">
        <v>0</v>
      </c>
      <c r="P386" s="506">
        <v>0</v>
      </c>
      <c r="Q386" s="507">
        <v>0</v>
      </c>
      <c r="R386" s="507">
        <v>0</v>
      </c>
      <c r="S386" s="515">
        <v>0</v>
      </c>
      <c r="T386" s="510"/>
      <c r="U386" s="528"/>
    </row>
    <row r="387" spans="1:21">
      <c r="A387" s="479"/>
      <c r="B387" s="4" t="s">
        <v>67</v>
      </c>
      <c r="C387" s="632">
        <v>0.11653848779266877</v>
      </c>
      <c r="D387" s="508">
        <v>0</v>
      </c>
      <c r="E387" s="508">
        <v>2.0716036744699767E-2</v>
      </c>
      <c r="F387" s="508">
        <v>0</v>
      </c>
      <c r="G387" s="508">
        <v>2.3387818550096567E-2</v>
      </c>
      <c r="H387" s="508">
        <v>0</v>
      </c>
      <c r="I387" s="508">
        <v>0</v>
      </c>
      <c r="J387" s="509">
        <v>8.7122858541360745E-2</v>
      </c>
      <c r="K387" s="506">
        <v>0</v>
      </c>
      <c r="L387" s="507">
        <v>0</v>
      </c>
      <c r="M387" s="507">
        <v>0</v>
      </c>
      <c r="N387" s="507">
        <v>0</v>
      </c>
      <c r="O387" s="506">
        <v>0</v>
      </c>
      <c r="P387" s="506">
        <v>0</v>
      </c>
      <c r="Q387" s="507">
        <v>0</v>
      </c>
      <c r="R387" s="507">
        <v>0</v>
      </c>
      <c r="S387" s="515">
        <v>0</v>
      </c>
      <c r="T387" s="536"/>
      <c r="U387" s="542"/>
    </row>
    <row r="388" spans="1:21">
      <c r="A388" s="479"/>
      <c r="B388" s="4" t="s">
        <v>69</v>
      </c>
      <c r="C388" s="632">
        <v>0.12117528764891559</v>
      </c>
      <c r="D388" s="508">
        <v>0</v>
      </c>
      <c r="E388" s="508">
        <v>1.6214514351681798E-2</v>
      </c>
      <c r="F388" s="508">
        <v>0</v>
      </c>
      <c r="G388" s="508">
        <v>1.4605538955536726E-2</v>
      </c>
      <c r="H388" s="508">
        <v>0</v>
      </c>
      <c r="I388" s="508">
        <v>0</v>
      </c>
      <c r="J388" s="509">
        <v>8.460782353725177E-2</v>
      </c>
      <c r="K388" s="506">
        <v>0</v>
      </c>
      <c r="L388" s="507">
        <v>0</v>
      </c>
      <c r="M388" s="507">
        <v>0</v>
      </c>
      <c r="N388" s="507">
        <v>0</v>
      </c>
      <c r="O388" s="506">
        <v>0</v>
      </c>
      <c r="P388" s="506">
        <v>0</v>
      </c>
      <c r="Q388" s="507">
        <v>0</v>
      </c>
      <c r="R388" s="507">
        <v>0</v>
      </c>
      <c r="S388" s="515">
        <v>0</v>
      </c>
      <c r="T388" s="543"/>
      <c r="U388" s="550"/>
    </row>
    <row r="389" spans="1:21">
      <c r="A389" s="479"/>
      <c r="B389" s="4" t="s">
        <v>93</v>
      </c>
      <c r="C389" s="633">
        <v>0.46367998562468205</v>
      </c>
      <c r="D389" s="508">
        <v>0</v>
      </c>
      <c r="E389" s="508">
        <v>-0.45015223930179699</v>
      </c>
      <c r="F389" s="508">
        <v>0</v>
      </c>
      <c r="G389" s="508">
        <v>-0.87822795945598409</v>
      </c>
      <c r="H389" s="508">
        <v>0</v>
      </c>
      <c r="I389" s="508">
        <v>0</v>
      </c>
      <c r="J389" s="509">
        <v>-0.25150350041089758</v>
      </c>
      <c r="K389" s="506">
        <v>0</v>
      </c>
      <c r="L389" s="507">
        <v>0</v>
      </c>
      <c r="M389" s="507">
        <v>0</v>
      </c>
      <c r="N389" s="507">
        <v>0</v>
      </c>
      <c r="O389" s="506">
        <v>0</v>
      </c>
      <c r="P389" s="506">
        <v>0</v>
      </c>
      <c r="Q389" s="507">
        <v>0</v>
      </c>
      <c r="R389" s="507">
        <v>0</v>
      </c>
      <c r="S389" s="515">
        <v>0</v>
      </c>
      <c r="T389" s="510"/>
      <c r="U389" s="528"/>
    </row>
    <row r="390" spans="1:21">
      <c r="A390" s="479"/>
      <c r="B390" s="4" t="s">
        <v>71</v>
      </c>
      <c r="C390" s="614">
        <v>9.1014585087260236E-2</v>
      </c>
      <c r="D390" s="508">
        <v>0</v>
      </c>
      <c r="E390" s="508">
        <v>3.566714258775356E-2</v>
      </c>
      <c r="F390" s="508">
        <v>0</v>
      </c>
      <c r="G390" s="631">
        <v>0.15521220971312827</v>
      </c>
      <c r="H390" s="508">
        <v>0</v>
      </c>
      <c r="I390" s="508">
        <v>0</v>
      </c>
      <c r="J390" s="509">
        <v>9.3642682329906995E-2</v>
      </c>
      <c r="K390" s="506">
        <v>0</v>
      </c>
      <c r="L390" s="507">
        <v>0</v>
      </c>
      <c r="M390" s="507">
        <v>0</v>
      </c>
      <c r="N390" s="507">
        <v>0</v>
      </c>
      <c r="O390" s="506">
        <v>0</v>
      </c>
      <c r="P390" s="506">
        <v>0</v>
      </c>
      <c r="Q390" s="507">
        <v>0</v>
      </c>
      <c r="R390" s="507">
        <v>0</v>
      </c>
      <c r="S390" s="515">
        <v>0</v>
      </c>
      <c r="T390" s="536"/>
      <c r="U390" s="542"/>
    </row>
    <row r="391" spans="1:21">
      <c r="A391" s="479"/>
      <c r="B391" s="4" t="s">
        <v>73</v>
      </c>
      <c r="C391" s="614">
        <v>0.10701557886162305</v>
      </c>
      <c r="D391" s="508">
        <v>0</v>
      </c>
      <c r="E391" s="508">
        <v>6.3651151807734688E-2</v>
      </c>
      <c r="F391" s="508">
        <v>0</v>
      </c>
      <c r="G391" s="632">
        <v>0.14565401596574945</v>
      </c>
      <c r="H391" s="508">
        <v>0</v>
      </c>
      <c r="I391" s="508">
        <v>0</v>
      </c>
      <c r="J391" s="509">
        <v>0.10734872717579635</v>
      </c>
      <c r="K391" s="506">
        <v>0</v>
      </c>
      <c r="L391" s="507">
        <v>0</v>
      </c>
      <c r="M391" s="507">
        <v>0</v>
      </c>
      <c r="N391" s="507">
        <v>0</v>
      </c>
      <c r="O391" s="506">
        <v>0</v>
      </c>
      <c r="P391" s="506">
        <v>0</v>
      </c>
      <c r="Q391" s="507">
        <v>0</v>
      </c>
      <c r="R391" s="507">
        <v>0</v>
      </c>
      <c r="S391" s="515">
        <v>0</v>
      </c>
      <c r="T391" s="543"/>
      <c r="U391" s="550"/>
    </row>
    <row r="392" spans="1:21">
      <c r="A392" s="479"/>
      <c r="B392" s="4" t="s">
        <v>99</v>
      </c>
      <c r="C392" s="614">
        <v>1.6000993774362815</v>
      </c>
      <c r="D392" s="508">
        <v>0</v>
      </c>
      <c r="E392" s="508">
        <v>2.798400921998113</v>
      </c>
      <c r="F392" s="508">
        <v>0</v>
      </c>
      <c r="G392" s="633">
        <v>-0.95581937473788181</v>
      </c>
      <c r="H392" s="508">
        <v>0</v>
      </c>
      <c r="I392" s="508">
        <v>0</v>
      </c>
      <c r="J392" s="509">
        <v>1.3706044845889358</v>
      </c>
      <c r="K392" s="506">
        <v>0</v>
      </c>
      <c r="L392" s="507">
        <v>0</v>
      </c>
      <c r="M392" s="507">
        <v>0</v>
      </c>
      <c r="N392" s="507">
        <v>0</v>
      </c>
      <c r="O392" s="506">
        <v>0</v>
      </c>
      <c r="P392" s="506">
        <v>0</v>
      </c>
      <c r="Q392" s="507">
        <v>0</v>
      </c>
      <c r="R392" s="507">
        <v>0</v>
      </c>
      <c r="S392" s="515">
        <v>0</v>
      </c>
      <c r="T392" s="510"/>
      <c r="U392" s="528"/>
    </row>
    <row r="393" spans="1:21">
      <c r="A393" s="479"/>
      <c r="B393" s="4" t="s">
        <v>75</v>
      </c>
      <c r="C393" s="631">
        <v>0.14017383785751666</v>
      </c>
      <c r="D393" s="508">
        <v>0</v>
      </c>
      <c r="E393" s="508">
        <v>1.0667816060989736E-2</v>
      </c>
      <c r="F393" s="508">
        <v>0</v>
      </c>
      <c r="G393" s="632">
        <v>0.21131471100852608</v>
      </c>
      <c r="H393" s="508">
        <v>0</v>
      </c>
      <c r="I393" s="508">
        <v>0</v>
      </c>
      <c r="J393" s="509">
        <v>0.13317670093000489</v>
      </c>
      <c r="K393" s="506">
        <v>0</v>
      </c>
      <c r="L393" s="507">
        <v>0</v>
      </c>
      <c r="M393" s="507">
        <v>0</v>
      </c>
      <c r="N393" s="507">
        <v>0</v>
      </c>
      <c r="O393" s="506">
        <v>0</v>
      </c>
      <c r="P393" s="506">
        <v>0</v>
      </c>
      <c r="Q393" s="507">
        <v>0</v>
      </c>
      <c r="R393" s="507">
        <v>0</v>
      </c>
      <c r="S393" s="515">
        <v>0</v>
      </c>
      <c r="T393" s="536"/>
      <c r="U393" s="542"/>
    </row>
    <row r="394" spans="1:21">
      <c r="A394" s="479"/>
      <c r="B394" s="4" t="s">
        <v>77</v>
      </c>
      <c r="C394" s="632">
        <v>4.0856328276142962E-3</v>
      </c>
      <c r="D394" s="508">
        <v>0</v>
      </c>
      <c r="E394" s="508">
        <v>1.5611061552185548E-2</v>
      </c>
      <c r="F394" s="508">
        <v>0</v>
      </c>
      <c r="G394" s="632">
        <v>0.17602461758016322</v>
      </c>
      <c r="H394" s="508">
        <v>0</v>
      </c>
      <c r="I394" s="508">
        <v>0</v>
      </c>
      <c r="J394" s="509">
        <v>3.8030621084899373E-2</v>
      </c>
      <c r="K394" s="506">
        <v>0</v>
      </c>
      <c r="L394" s="507">
        <v>0</v>
      </c>
      <c r="M394" s="507">
        <v>0</v>
      </c>
      <c r="N394" s="507">
        <v>0</v>
      </c>
      <c r="O394" s="506">
        <v>0</v>
      </c>
      <c r="P394" s="506">
        <v>0</v>
      </c>
      <c r="Q394" s="507">
        <v>0</v>
      </c>
      <c r="R394" s="507">
        <v>0</v>
      </c>
      <c r="S394" s="515">
        <v>0</v>
      </c>
      <c r="T394" s="543"/>
      <c r="U394" s="550"/>
    </row>
    <row r="395" spans="1:21">
      <c r="A395" s="479"/>
      <c r="B395" s="4" t="s">
        <v>101</v>
      </c>
      <c r="C395" s="633">
        <v>-13.608820502990238</v>
      </c>
      <c r="D395" s="508">
        <v>0</v>
      </c>
      <c r="E395" s="508">
        <v>0.49432454911958124</v>
      </c>
      <c r="F395" s="508">
        <v>0</v>
      </c>
      <c r="G395" s="633">
        <v>-3.5290093428362868</v>
      </c>
      <c r="H395" s="508">
        <v>0</v>
      </c>
      <c r="I395" s="508">
        <v>0</v>
      </c>
      <c r="J395" s="509">
        <v>-9.5146079845105511</v>
      </c>
      <c r="K395" s="506">
        <v>0</v>
      </c>
      <c r="L395" s="507">
        <v>0</v>
      </c>
      <c r="M395" s="507">
        <v>0</v>
      </c>
      <c r="N395" s="507">
        <v>0</v>
      </c>
      <c r="O395" s="506">
        <v>0</v>
      </c>
      <c r="P395" s="506">
        <v>0</v>
      </c>
      <c r="Q395" s="507">
        <v>0</v>
      </c>
      <c r="R395" s="507">
        <v>0</v>
      </c>
      <c r="S395" s="515">
        <v>0</v>
      </c>
      <c r="T395" s="510"/>
      <c r="U395" s="528"/>
    </row>
    <row r="396" spans="1:21">
      <c r="A396" s="479"/>
      <c r="B396" s="4" t="s">
        <v>79</v>
      </c>
      <c r="C396" s="506">
        <v>1.1263054904548453E-3</v>
      </c>
      <c r="D396" s="508">
        <v>0</v>
      </c>
      <c r="E396" s="508">
        <v>3.149160852347728E-2</v>
      </c>
      <c r="F396" s="508">
        <v>0</v>
      </c>
      <c r="G396" s="508">
        <v>1.5544773658674455E-2</v>
      </c>
      <c r="H396" s="508">
        <v>0</v>
      </c>
      <c r="I396" s="508">
        <v>0</v>
      </c>
      <c r="J396" s="509">
        <v>7.9373470386686247E-3</v>
      </c>
      <c r="K396" s="506">
        <v>0</v>
      </c>
      <c r="L396" s="507">
        <v>0</v>
      </c>
      <c r="M396" s="507">
        <v>0</v>
      </c>
      <c r="N396" s="507">
        <v>0</v>
      </c>
      <c r="O396" s="506">
        <v>0</v>
      </c>
      <c r="P396" s="506">
        <v>0</v>
      </c>
      <c r="Q396" s="507">
        <v>0</v>
      </c>
      <c r="R396" s="507">
        <v>0</v>
      </c>
      <c r="S396" s="515">
        <v>0</v>
      </c>
      <c r="T396" s="536"/>
      <c r="U396" s="542"/>
    </row>
    <row r="397" spans="1:21">
      <c r="A397" s="479"/>
      <c r="B397" s="4" t="s">
        <v>81</v>
      </c>
      <c r="C397" s="617">
        <v>3.9328988901333878E-3</v>
      </c>
      <c r="D397" s="508">
        <v>0</v>
      </c>
      <c r="E397" s="508">
        <v>3.6154693813296952E-2</v>
      </c>
      <c r="F397" s="508">
        <v>0</v>
      </c>
      <c r="G397" s="508">
        <v>1.6590108370869196E-2</v>
      </c>
      <c r="H397" s="508">
        <v>0</v>
      </c>
      <c r="I397" s="508">
        <v>0</v>
      </c>
      <c r="J397" s="509">
        <v>1.1412101825936292E-2</v>
      </c>
      <c r="K397" s="506">
        <v>0</v>
      </c>
      <c r="L397" s="507">
        <v>0</v>
      </c>
      <c r="M397" s="507">
        <v>0</v>
      </c>
      <c r="N397" s="507">
        <v>0</v>
      </c>
      <c r="O397" s="506">
        <v>0</v>
      </c>
      <c r="P397" s="506">
        <v>0</v>
      </c>
      <c r="Q397" s="507">
        <v>0</v>
      </c>
      <c r="R397" s="507">
        <v>0</v>
      </c>
      <c r="S397" s="515">
        <v>0</v>
      </c>
      <c r="T397" s="543"/>
      <c r="U397" s="550"/>
    </row>
    <row r="398" spans="1:21">
      <c r="A398" s="479"/>
      <c r="B398" s="4" t="s">
        <v>107</v>
      </c>
      <c r="C398" s="506">
        <v>0.28065933996785425</v>
      </c>
      <c r="D398" s="508">
        <v>0</v>
      </c>
      <c r="E398" s="508">
        <v>0.46630852898196729</v>
      </c>
      <c r="F398" s="508">
        <v>0</v>
      </c>
      <c r="G398" s="508">
        <v>0.10453347121947409</v>
      </c>
      <c r="H398" s="508">
        <v>0</v>
      </c>
      <c r="I398" s="508">
        <v>0</v>
      </c>
      <c r="J398" s="509">
        <v>0.34747547872676676</v>
      </c>
      <c r="K398" s="506">
        <v>0</v>
      </c>
      <c r="L398" s="507">
        <v>0</v>
      </c>
      <c r="M398" s="507">
        <v>0</v>
      </c>
      <c r="N398" s="507">
        <v>0</v>
      </c>
      <c r="O398" s="506">
        <v>0</v>
      </c>
      <c r="P398" s="506">
        <v>0</v>
      </c>
      <c r="Q398" s="507">
        <v>0</v>
      </c>
      <c r="R398" s="507">
        <v>0</v>
      </c>
      <c r="S398" s="515">
        <v>0</v>
      </c>
      <c r="T398" s="551"/>
      <c r="U398" s="554"/>
    </row>
    <row r="399" spans="1:21">
      <c r="A399" s="479"/>
      <c r="B399" s="4" t="s">
        <v>83</v>
      </c>
      <c r="C399" s="617">
        <v>2.2753646271815058E-4</v>
      </c>
      <c r="D399" s="508">
        <v>0</v>
      </c>
      <c r="E399" s="508">
        <v>0</v>
      </c>
      <c r="F399" s="508">
        <v>0</v>
      </c>
      <c r="G399" s="508">
        <v>0</v>
      </c>
      <c r="H399" s="508">
        <v>0</v>
      </c>
      <c r="I399" s="508">
        <v>0</v>
      </c>
      <c r="J399" s="509">
        <v>1.5663240332843857E-4</v>
      </c>
      <c r="K399" s="506">
        <v>0</v>
      </c>
      <c r="L399" s="507">
        <v>0</v>
      </c>
      <c r="M399" s="507">
        <v>0</v>
      </c>
      <c r="N399" s="507">
        <v>0</v>
      </c>
      <c r="O399" s="506">
        <v>0</v>
      </c>
      <c r="P399" s="506">
        <v>0</v>
      </c>
      <c r="Q399" s="507">
        <v>0</v>
      </c>
      <c r="R399" s="507">
        <v>0</v>
      </c>
      <c r="S399" s="515">
        <v>0</v>
      </c>
      <c r="T399" s="506"/>
      <c r="U399" s="527"/>
    </row>
    <row r="400" spans="1:21">
      <c r="A400" s="479"/>
      <c r="B400" s="4" t="s">
        <v>85</v>
      </c>
      <c r="C400" s="506">
        <v>1.6355259138580592E-3</v>
      </c>
      <c r="D400" s="508">
        <v>0</v>
      </c>
      <c r="E400" s="508">
        <v>0</v>
      </c>
      <c r="F400" s="508">
        <v>0</v>
      </c>
      <c r="G400" s="508">
        <v>0</v>
      </c>
      <c r="H400" s="508">
        <v>0</v>
      </c>
      <c r="I400" s="508">
        <v>0</v>
      </c>
      <c r="J400" s="509">
        <v>1.0704051712648274E-3</v>
      </c>
      <c r="K400" s="506">
        <v>0</v>
      </c>
      <c r="L400" s="507">
        <v>0</v>
      </c>
      <c r="M400" s="507">
        <v>0</v>
      </c>
      <c r="N400" s="507">
        <v>0</v>
      </c>
      <c r="O400" s="506">
        <v>0</v>
      </c>
      <c r="P400" s="506">
        <v>0</v>
      </c>
      <c r="Q400" s="507">
        <v>0</v>
      </c>
      <c r="R400" s="507">
        <v>0</v>
      </c>
      <c r="S400" s="515">
        <v>0</v>
      </c>
      <c r="T400" s="506"/>
      <c r="U400" s="527"/>
    </row>
    <row r="401" spans="1:21">
      <c r="A401" s="502"/>
      <c r="B401" s="4" t="s">
        <v>109</v>
      </c>
      <c r="C401" s="506">
        <v>0.14079894511399085</v>
      </c>
      <c r="D401" s="508">
        <v>0</v>
      </c>
      <c r="E401" s="508">
        <v>0</v>
      </c>
      <c r="F401" s="508">
        <v>0</v>
      </c>
      <c r="G401" s="508">
        <v>0</v>
      </c>
      <c r="H401" s="508">
        <v>0</v>
      </c>
      <c r="I401" s="508">
        <v>0</v>
      </c>
      <c r="J401" s="509">
        <v>9.1377276793638884E-2</v>
      </c>
      <c r="K401" s="506">
        <v>0</v>
      </c>
      <c r="L401" s="507">
        <v>0</v>
      </c>
      <c r="M401" s="507">
        <v>0</v>
      </c>
      <c r="N401" s="507">
        <v>0</v>
      </c>
      <c r="O401" s="506">
        <v>0</v>
      </c>
      <c r="P401" s="506">
        <v>0</v>
      </c>
      <c r="Q401" s="507">
        <v>0</v>
      </c>
      <c r="R401" s="507">
        <v>0</v>
      </c>
      <c r="S401" s="515">
        <v>0</v>
      </c>
      <c r="T401" s="510"/>
      <c r="U401" s="528"/>
    </row>
    <row r="402" spans="1:21">
      <c r="A402" s="478" t="s">
        <v>136</v>
      </c>
      <c r="B402" s="3" t="s">
        <v>39</v>
      </c>
      <c r="C402" s="463">
        <v>0.9600069757053723</v>
      </c>
      <c r="D402" s="464">
        <v>0</v>
      </c>
      <c r="E402" s="464">
        <v>0.99725199997210157</v>
      </c>
      <c r="F402" s="464">
        <v>0.99795660573636502</v>
      </c>
      <c r="G402" s="464">
        <v>0.98458311237057039</v>
      </c>
      <c r="H402" s="464">
        <v>0.88996198356348188</v>
      </c>
      <c r="I402" s="464">
        <v>0</v>
      </c>
      <c r="J402" s="466">
        <v>0.96732205889188327</v>
      </c>
      <c r="K402" s="463">
        <v>0.82064555420219243</v>
      </c>
      <c r="L402" s="464">
        <v>0.89156000042932837</v>
      </c>
      <c r="M402" s="464">
        <v>0.89676544622811527</v>
      </c>
      <c r="N402" s="464">
        <v>0.96189276790462908</v>
      </c>
      <c r="O402" s="463">
        <v>0.89988541716620229</v>
      </c>
      <c r="P402" s="463">
        <v>0</v>
      </c>
      <c r="Q402" s="464">
        <v>0</v>
      </c>
      <c r="R402" s="464">
        <v>0</v>
      </c>
      <c r="S402" s="516">
        <v>0</v>
      </c>
      <c r="T402" s="536"/>
      <c r="U402" s="542"/>
    </row>
    <row r="403" spans="1:21">
      <c r="A403" s="479"/>
      <c r="B403" s="4" t="s">
        <v>41</v>
      </c>
      <c r="C403" s="506">
        <v>0.95498062199994305</v>
      </c>
      <c r="D403" s="508">
        <v>0</v>
      </c>
      <c r="E403" s="508">
        <v>0.99726407617633639</v>
      </c>
      <c r="F403" s="508">
        <v>0.99683773150134214</v>
      </c>
      <c r="G403" s="508">
        <v>0.97876161280090368</v>
      </c>
      <c r="H403" s="508">
        <v>0.88387628111273797</v>
      </c>
      <c r="I403" s="508">
        <v>0</v>
      </c>
      <c r="J403" s="509">
        <v>0.96295538372661427</v>
      </c>
      <c r="K403" s="506">
        <v>0.84920479088945611</v>
      </c>
      <c r="L403" s="507">
        <v>0.78817389811423988</v>
      </c>
      <c r="M403" s="507">
        <v>0.75640534497962908</v>
      </c>
      <c r="N403" s="507">
        <v>0.87605562517761748</v>
      </c>
      <c r="O403" s="506">
        <v>0.78355019489742184</v>
      </c>
      <c r="P403" s="506">
        <v>0</v>
      </c>
      <c r="Q403" s="507">
        <v>0</v>
      </c>
      <c r="R403" s="507">
        <v>0</v>
      </c>
      <c r="S403" s="515">
        <v>0</v>
      </c>
      <c r="T403" s="543"/>
      <c r="U403" s="550"/>
    </row>
    <row r="404" spans="1:21">
      <c r="A404" s="479"/>
      <c r="B404" s="505" t="s">
        <v>87</v>
      </c>
      <c r="C404" s="510">
        <v>-0.5026353705429254</v>
      </c>
      <c r="D404" s="512">
        <v>0</v>
      </c>
      <c r="E404" s="512">
        <v>1.2076204234823251E-3</v>
      </c>
      <c r="F404" s="512">
        <v>-0.1118874235022882</v>
      </c>
      <c r="G404" s="512">
        <v>-0.58214995696667104</v>
      </c>
      <c r="H404" s="512">
        <v>-0.60857024507439128</v>
      </c>
      <c r="I404" s="512">
        <v>0</v>
      </c>
      <c r="J404" s="514">
        <v>-0.43666751652690072</v>
      </c>
      <c r="K404" s="510">
        <v>2.8559236687263678</v>
      </c>
      <c r="L404" s="511">
        <v>-10.338610231508849</v>
      </c>
      <c r="M404" s="511">
        <v>-14.03601012484862</v>
      </c>
      <c r="N404" s="511">
        <v>-8.5837142727011599</v>
      </c>
      <c r="O404" s="510">
        <v>-11.633522226878046</v>
      </c>
      <c r="P404" s="510">
        <v>0</v>
      </c>
      <c r="Q404" s="511">
        <v>0</v>
      </c>
      <c r="R404" s="511">
        <v>0</v>
      </c>
      <c r="S404" s="517">
        <v>0</v>
      </c>
      <c r="T404" s="510"/>
      <c r="U404" s="528"/>
    </row>
    <row r="405" spans="1:21">
      <c r="A405" s="479"/>
      <c r="B405" s="4" t="s">
        <v>43</v>
      </c>
      <c r="C405" s="506">
        <v>1.7977738933206602E-2</v>
      </c>
      <c r="D405" s="508">
        <v>0</v>
      </c>
      <c r="E405" s="508">
        <v>2.7480000278984774E-3</v>
      </c>
      <c r="F405" s="508">
        <v>1.63471541090801E-3</v>
      </c>
      <c r="G405" s="508">
        <v>6.9994860696201621E-3</v>
      </c>
      <c r="H405" s="508">
        <v>0.10714019492741469</v>
      </c>
      <c r="I405" s="508">
        <v>0</v>
      </c>
      <c r="J405" s="509">
        <v>2.0669075153727883E-2</v>
      </c>
      <c r="K405" s="506">
        <v>0.13876370280146164</v>
      </c>
      <c r="L405" s="507">
        <v>5.4106108507976564E-2</v>
      </c>
      <c r="M405" s="507">
        <v>7.8003213080768852E-2</v>
      </c>
      <c r="N405" s="507">
        <v>3.7505142845674487E-2</v>
      </c>
      <c r="O405" s="506">
        <v>6.4680632236038593E-2</v>
      </c>
      <c r="P405" s="506">
        <v>0</v>
      </c>
      <c r="Q405" s="507">
        <v>0</v>
      </c>
      <c r="R405" s="507">
        <v>0</v>
      </c>
      <c r="S405" s="515">
        <v>0</v>
      </c>
      <c r="T405" s="536"/>
      <c r="U405" s="542"/>
    </row>
    <row r="406" spans="1:21">
      <c r="A406" s="479"/>
      <c r="B406" s="4" t="s">
        <v>45</v>
      </c>
      <c r="C406" s="506">
        <v>1.7570237276225566E-2</v>
      </c>
      <c r="D406" s="508">
        <v>0</v>
      </c>
      <c r="E406" s="508">
        <v>2.7359238236636402E-3</v>
      </c>
      <c r="F406" s="508">
        <v>1.9120693247698776E-3</v>
      </c>
      <c r="G406" s="508">
        <v>4.2220231306410892E-3</v>
      </c>
      <c r="H406" s="508">
        <v>0.11316343338213763</v>
      </c>
      <c r="I406" s="508">
        <v>0</v>
      </c>
      <c r="J406" s="509">
        <v>2.0480380393725281E-2</v>
      </c>
      <c r="K406" s="506">
        <v>0.11794900563799052</v>
      </c>
      <c r="L406" s="507">
        <v>5.3255541118763683E-2</v>
      </c>
      <c r="M406" s="507">
        <v>7.7665091534047465E-2</v>
      </c>
      <c r="N406" s="507">
        <v>4.0763048361807552E-2</v>
      </c>
      <c r="O406" s="506">
        <v>6.4265429176423403E-2</v>
      </c>
      <c r="P406" s="506">
        <v>0</v>
      </c>
      <c r="Q406" s="507">
        <v>0</v>
      </c>
      <c r="R406" s="507">
        <v>0</v>
      </c>
      <c r="S406" s="515">
        <v>0</v>
      </c>
      <c r="T406" s="543"/>
      <c r="U406" s="550"/>
    </row>
    <row r="407" spans="1:21">
      <c r="A407" s="479"/>
      <c r="B407" s="4" t="s">
        <v>95</v>
      </c>
      <c r="C407" s="506">
        <v>-4.0750165698103663E-2</v>
      </c>
      <c r="D407" s="508">
        <v>0</v>
      </c>
      <c r="E407" s="508">
        <v>-1.2076204234837129E-3</v>
      </c>
      <c r="F407" s="508">
        <v>2.7735391386186761E-2</v>
      </c>
      <c r="G407" s="508">
        <v>-0.27774629389790728</v>
      </c>
      <c r="H407" s="508">
        <v>0.60232384547229401</v>
      </c>
      <c r="I407" s="508">
        <v>0</v>
      </c>
      <c r="J407" s="509">
        <v>-1.8869476000260219E-2</v>
      </c>
      <c r="K407" s="506">
        <v>-2.0814697163471116</v>
      </c>
      <c r="L407" s="507">
        <v>-8.5056738921288066E-2</v>
      </c>
      <c r="M407" s="507">
        <v>-3.3812154672138717E-2</v>
      </c>
      <c r="N407" s="507">
        <v>0.3257905516133065</v>
      </c>
      <c r="O407" s="506">
        <v>-4.1520305961519066E-2</v>
      </c>
      <c r="P407" s="506">
        <v>0</v>
      </c>
      <c r="Q407" s="507">
        <v>0</v>
      </c>
      <c r="R407" s="507">
        <v>0</v>
      </c>
      <c r="S407" s="515">
        <v>0</v>
      </c>
      <c r="T407" s="510"/>
      <c r="U407" s="528"/>
    </row>
    <row r="408" spans="1:21">
      <c r="A408" s="479"/>
      <c r="B408" s="4" t="s">
        <v>49</v>
      </c>
      <c r="C408" s="506">
        <v>2.1042358033177434E-2</v>
      </c>
      <c r="D408" s="508">
        <v>0</v>
      </c>
      <c r="E408" s="508">
        <v>0</v>
      </c>
      <c r="F408" s="508">
        <v>4.086788527270025E-4</v>
      </c>
      <c r="G408" s="508">
        <v>8.3662132749650377E-3</v>
      </c>
      <c r="H408" s="508">
        <v>2.8978215091034457E-3</v>
      </c>
      <c r="I408" s="508">
        <v>0</v>
      </c>
      <c r="J408" s="509">
        <v>1.1562742941094446E-2</v>
      </c>
      <c r="K408" s="506">
        <v>4.0590742996345922E-2</v>
      </c>
      <c r="L408" s="507">
        <v>5.2738220600845064E-2</v>
      </c>
      <c r="M408" s="507">
        <v>2.4289226735799994E-2</v>
      </c>
      <c r="N408" s="507">
        <v>6.0208924969644667E-4</v>
      </c>
      <c r="O408" s="506">
        <v>3.4323833739593933E-2</v>
      </c>
      <c r="P408" s="506">
        <v>0</v>
      </c>
      <c r="Q408" s="507">
        <v>0</v>
      </c>
      <c r="R408" s="507">
        <v>0</v>
      </c>
      <c r="S408" s="515">
        <v>0</v>
      </c>
      <c r="T408" s="536"/>
      <c r="U408" s="542"/>
    </row>
    <row r="409" spans="1:21">
      <c r="A409" s="479"/>
      <c r="B409" s="4" t="s">
        <v>51</v>
      </c>
      <c r="C409" s="506">
        <v>2.1039532297811744E-2</v>
      </c>
      <c r="D409" s="508">
        <v>0</v>
      </c>
      <c r="E409" s="508">
        <v>0</v>
      </c>
      <c r="F409" s="508">
        <v>1.2501991738879969E-3</v>
      </c>
      <c r="G409" s="508">
        <v>1.5524834465072851E-2</v>
      </c>
      <c r="H409" s="508">
        <v>2.9602855051244509E-3</v>
      </c>
      <c r="I409" s="508">
        <v>0</v>
      </c>
      <c r="J409" s="509">
        <v>1.3328667288805936E-2</v>
      </c>
      <c r="K409" s="506">
        <v>3.2846203472553362E-2</v>
      </c>
      <c r="L409" s="507">
        <v>0.15129850022408517</v>
      </c>
      <c r="M409" s="507">
        <v>0.13530877728810967</v>
      </c>
      <c r="N409" s="507">
        <v>4.7393618794993722E-2</v>
      </c>
      <c r="O409" s="506">
        <v>0.13151093977369377</v>
      </c>
      <c r="P409" s="506">
        <v>0</v>
      </c>
      <c r="Q409" s="507">
        <v>0</v>
      </c>
      <c r="R409" s="507">
        <v>0</v>
      </c>
      <c r="S409" s="515">
        <v>0</v>
      </c>
      <c r="T409" s="543"/>
      <c r="U409" s="550"/>
    </row>
    <row r="410" spans="1:21">
      <c r="A410" s="479"/>
      <c r="B410" s="4" t="s">
        <v>97</v>
      </c>
      <c r="C410" s="506">
        <v>-2.8257353656899187E-4</v>
      </c>
      <c r="D410" s="508">
        <v>0</v>
      </c>
      <c r="E410" s="508">
        <v>0</v>
      </c>
      <c r="F410" s="508">
        <v>8.4152032116099437E-2</v>
      </c>
      <c r="G410" s="508">
        <v>0.71586211901078134</v>
      </c>
      <c r="H410" s="508">
        <v>6.2463996021005271E-3</v>
      </c>
      <c r="I410" s="508">
        <v>0</v>
      </c>
      <c r="J410" s="509">
        <v>0.176592434771149</v>
      </c>
      <c r="K410" s="506">
        <v>-0.77445395237925596</v>
      </c>
      <c r="L410" s="507">
        <v>9.8560279623240099</v>
      </c>
      <c r="M410" s="507">
        <v>11.101955055230967</v>
      </c>
      <c r="N410" s="507">
        <v>4.6791529545297275</v>
      </c>
      <c r="O410" s="506">
        <v>9.7187106034099831</v>
      </c>
      <c r="P410" s="506">
        <v>0</v>
      </c>
      <c r="Q410" s="507">
        <v>0</v>
      </c>
      <c r="R410" s="507">
        <v>0</v>
      </c>
      <c r="S410" s="515">
        <v>0</v>
      </c>
      <c r="T410" s="510"/>
      <c r="U410" s="528"/>
    </row>
    <row r="411" spans="1:21">
      <c r="A411" s="479"/>
      <c r="B411" s="4" t="s">
        <v>53</v>
      </c>
      <c r="C411" s="506">
        <v>0</v>
      </c>
      <c r="D411" s="508">
        <v>0</v>
      </c>
      <c r="E411" s="508">
        <v>0</v>
      </c>
      <c r="F411" s="508">
        <v>0</v>
      </c>
      <c r="G411" s="508">
        <v>0</v>
      </c>
      <c r="H411" s="508">
        <v>0</v>
      </c>
      <c r="I411" s="508">
        <v>0</v>
      </c>
      <c r="J411" s="509">
        <v>0</v>
      </c>
      <c r="K411" s="506">
        <v>0</v>
      </c>
      <c r="L411" s="507">
        <v>3.756623284624439E-4</v>
      </c>
      <c r="M411" s="507">
        <v>9.4211395531591737E-4</v>
      </c>
      <c r="N411" s="507">
        <v>0</v>
      </c>
      <c r="O411" s="506">
        <v>5.8821908890832044E-4</v>
      </c>
      <c r="P411" s="506">
        <v>0</v>
      </c>
      <c r="Q411" s="507">
        <v>0</v>
      </c>
      <c r="R411" s="507">
        <v>0</v>
      </c>
      <c r="S411" s="515">
        <v>0</v>
      </c>
      <c r="T411" s="536"/>
      <c r="U411" s="542"/>
    </row>
    <row r="412" spans="1:21">
      <c r="A412" s="479"/>
      <c r="B412" s="4" t="s">
        <v>55</v>
      </c>
      <c r="C412" s="506">
        <v>1.3631826831635653E-3</v>
      </c>
      <c r="D412" s="508">
        <v>0</v>
      </c>
      <c r="E412" s="508">
        <v>0</v>
      </c>
      <c r="F412" s="508">
        <v>0</v>
      </c>
      <c r="G412" s="508">
        <v>1.4915296033823915E-3</v>
      </c>
      <c r="H412" s="508">
        <v>0</v>
      </c>
      <c r="I412" s="508">
        <v>0</v>
      </c>
      <c r="J412" s="509">
        <v>9.5053992800959877E-4</v>
      </c>
      <c r="K412" s="506">
        <v>0</v>
      </c>
      <c r="L412" s="507">
        <v>4.7090692801370869E-3</v>
      </c>
      <c r="M412" s="507">
        <v>2.9455109145007201E-2</v>
      </c>
      <c r="N412" s="507">
        <v>2.7786626313163001E-2</v>
      </c>
      <c r="O412" s="506">
        <v>1.8246514468263784E-2</v>
      </c>
      <c r="P412" s="506">
        <v>0</v>
      </c>
      <c r="Q412" s="507">
        <v>0</v>
      </c>
      <c r="R412" s="507">
        <v>0</v>
      </c>
      <c r="S412" s="515">
        <v>0</v>
      </c>
      <c r="T412" s="543"/>
      <c r="U412" s="550"/>
    </row>
    <row r="413" spans="1:21">
      <c r="A413" s="479"/>
      <c r="B413" s="4" t="s">
        <v>103</v>
      </c>
      <c r="C413" s="506">
        <v>0</v>
      </c>
      <c r="D413" s="508">
        <v>0</v>
      </c>
      <c r="E413" s="508">
        <v>0</v>
      </c>
      <c r="F413" s="508">
        <v>0</v>
      </c>
      <c r="G413" s="508">
        <v>0</v>
      </c>
      <c r="H413" s="508">
        <v>0</v>
      </c>
      <c r="I413" s="508">
        <v>0</v>
      </c>
      <c r="J413" s="509">
        <v>0</v>
      </c>
      <c r="K413" s="506">
        <v>0</v>
      </c>
      <c r="L413" s="507">
        <v>0.43334069516746432</v>
      </c>
      <c r="M413" s="507">
        <v>2.8512995189691281</v>
      </c>
      <c r="N413" s="507">
        <v>0</v>
      </c>
      <c r="O413" s="506">
        <v>1.7658295379355464</v>
      </c>
      <c r="P413" s="506">
        <v>0</v>
      </c>
      <c r="Q413" s="507">
        <v>0</v>
      </c>
      <c r="R413" s="507">
        <v>0</v>
      </c>
      <c r="S413" s="515">
        <v>0</v>
      </c>
      <c r="T413" s="510"/>
      <c r="U413" s="528"/>
    </row>
    <row r="414" spans="1:21">
      <c r="A414" s="479"/>
      <c r="B414" s="4" t="s">
        <v>57</v>
      </c>
      <c r="C414" s="506">
        <v>9.7292732824365204E-4</v>
      </c>
      <c r="D414" s="508">
        <v>0</v>
      </c>
      <c r="E414" s="508">
        <v>0</v>
      </c>
      <c r="F414" s="508">
        <v>0</v>
      </c>
      <c r="G414" s="508">
        <v>5.1188284844377379E-5</v>
      </c>
      <c r="H414" s="508">
        <v>0</v>
      </c>
      <c r="I414" s="508">
        <v>0</v>
      </c>
      <c r="J414" s="509">
        <v>4.4612301329437465E-4</v>
      </c>
      <c r="K414" s="506">
        <v>0</v>
      </c>
      <c r="L414" s="507">
        <v>1.2200081333875558E-3</v>
      </c>
      <c r="M414" s="507">
        <v>0</v>
      </c>
      <c r="N414" s="507">
        <v>0</v>
      </c>
      <c r="O414" s="506">
        <v>5.2189776925690536E-4</v>
      </c>
      <c r="P414" s="506">
        <v>0</v>
      </c>
      <c r="Q414" s="507">
        <v>0</v>
      </c>
      <c r="R414" s="507">
        <v>0</v>
      </c>
      <c r="S414" s="515">
        <v>0</v>
      </c>
      <c r="T414" s="536"/>
      <c r="U414" s="542"/>
    </row>
    <row r="415" spans="1:21">
      <c r="A415" s="479"/>
      <c r="B415" s="4" t="s">
        <v>59</v>
      </c>
      <c r="C415" s="506">
        <v>5.0464257428560495E-3</v>
      </c>
      <c r="D415" s="508">
        <v>0</v>
      </c>
      <c r="E415" s="508">
        <v>0</v>
      </c>
      <c r="F415" s="508">
        <v>0</v>
      </c>
      <c r="G415" s="508">
        <v>0</v>
      </c>
      <c r="H415" s="508">
        <v>0</v>
      </c>
      <c r="I415" s="508">
        <v>0</v>
      </c>
      <c r="J415" s="509">
        <v>2.285028662844954E-3</v>
      </c>
      <c r="K415" s="506">
        <v>0</v>
      </c>
      <c r="L415" s="507">
        <v>2.5629912627741763E-3</v>
      </c>
      <c r="M415" s="507">
        <v>1.1656770532066285E-3</v>
      </c>
      <c r="N415" s="507">
        <v>8.0010813524182458E-3</v>
      </c>
      <c r="O415" s="506">
        <v>2.4269216841971602E-3</v>
      </c>
      <c r="P415" s="506">
        <v>0</v>
      </c>
      <c r="Q415" s="507">
        <v>0</v>
      </c>
      <c r="R415" s="507">
        <v>0</v>
      </c>
      <c r="S415" s="515">
        <v>0</v>
      </c>
      <c r="T415" s="543"/>
      <c r="U415" s="550"/>
    </row>
    <row r="416" spans="1:21">
      <c r="A416" s="479"/>
      <c r="B416" s="4" t="s">
        <v>105</v>
      </c>
      <c r="C416" s="506">
        <v>0.40734984146123976</v>
      </c>
      <c r="D416" s="508">
        <v>0</v>
      </c>
      <c r="E416" s="508">
        <v>0</v>
      </c>
      <c r="F416" s="508">
        <v>0</v>
      </c>
      <c r="G416" s="508">
        <v>-5.1188284844377379E-3</v>
      </c>
      <c r="H416" s="508">
        <v>0</v>
      </c>
      <c r="I416" s="508">
        <v>0</v>
      </c>
      <c r="J416" s="509">
        <v>0.18389056495505793</v>
      </c>
      <c r="K416" s="506">
        <v>0</v>
      </c>
      <c r="L416" s="507">
        <v>0.13429831293866204</v>
      </c>
      <c r="M416" s="507">
        <v>0</v>
      </c>
      <c r="N416" s="507">
        <v>0</v>
      </c>
      <c r="O416" s="506">
        <v>0.19050239149402548</v>
      </c>
      <c r="P416" s="506">
        <v>0</v>
      </c>
      <c r="Q416" s="507">
        <v>0</v>
      </c>
      <c r="R416" s="507">
        <v>0</v>
      </c>
      <c r="S416" s="515">
        <v>0</v>
      </c>
      <c r="T416" s="510"/>
      <c r="U416" s="528"/>
    </row>
    <row r="417" spans="1:21">
      <c r="A417" s="479"/>
      <c r="B417" s="4" t="s">
        <v>61</v>
      </c>
      <c r="C417" s="506">
        <v>0</v>
      </c>
      <c r="D417" s="508">
        <v>0</v>
      </c>
      <c r="E417" s="508">
        <v>0</v>
      </c>
      <c r="F417" s="508">
        <v>0</v>
      </c>
      <c r="G417" s="508">
        <v>0</v>
      </c>
      <c r="H417" s="508">
        <v>0</v>
      </c>
      <c r="I417" s="508">
        <v>0</v>
      </c>
      <c r="J417" s="509">
        <v>0</v>
      </c>
      <c r="K417" s="506">
        <v>0</v>
      </c>
      <c r="L417" s="507">
        <v>0</v>
      </c>
      <c r="M417" s="507">
        <v>0</v>
      </c>
      <c r="N417" s="507">
        <v>0</v>
      </c>
      <c r="O417" s="506">
        <v>0</v>
      </c>
      <c r="P417" s="506">
        <v>0</v>
      </c>
      <c r="Q417" s="507">
        <v>0</v>
      </c>
      <c r="R417" s="507">
        <v>0</v>
      </c>
      <c r="S417" s="515">
        <v>0</v>
      </c>
      <c r="T417" s="536"/>
      <c r="U417" s="542"/>
    </row>
    <row r="418" spans="1:21">
      <c r="A418" s="479"/>
      <c r="B418" s="4" t="s">
        <v>63</v>
      </c>
      <c r="C418" s="506">
        <v>0</v>
      </c>
      <c r="D418" s="508">
        <v>0</v>
      </c>
      <c r="E418" s="508">
        <v>0</v>
      </c>
      <c r="F418" s="508">
        <v>0</v>
      </c>
      <c r="G418" s="508">
        <v>0</v>
      </c>
      <c r="H418" s="508">
        <v>0</v>
      </c>
      <c r="I418" s="508">
        <v>0</v>
      </c>
      <c r="J418" s="509">
        <v>0</v>
      </c>
      <c r="K418" s="506">
        <v>0</v>
      </c>
      <c r="L418" s="507">
        <v>0</v>
      </c>
      <c r="M418" s="507">
        <v>0</v>
      </c>
      <c r="N418" s="507">
        <v>0</v>
      </c>
      <c r="O418" s="506">
        <v>0</v>
      </c>
      <c r="P418" s="506">
        <v>0</v>
      </c>
      <c r="Q418" s="507">
        <v>0</v>
      </c>
      <c r="R418" s="507">
        <v>0</v>
      </c>
      <c r="S418" s="515">
        <v>0</v>
      </c>
      <c r="T418" s="543"/>
      <c r="U418" s="550"/>
    </row>
    <row r="419" spans="1:21">
      <c r="A419" s="479"/>
      <c r="B419" s="4" t="s">
        <v>91</v>
      </c>
      <c r="C419" s="506">
        <v>0</v>
      </c>
      <c r="D419" s="508">
        <v>0</v>
      </c>
      <c r="E419" s="508">
        <v>0</v>
      </c>
      <c r="F419" s="508">
        <v>0</v>
      </c>
      <c r="G419" s="508">
        <v>0</v>
      </c>
      <c r="H419" s="508">
        <v>0</v>
      </c>
      <c r="I419" s="508">
        <v>0</v>
      </c>
      <c r="J419" s="509">
        <v>0</v>
      </c>
      <c r="K419" s="506">
        <v>0</v>
      </c>
      <c r="L419" s="507">
        <v>0</v>
      </c>
      <c r="M419" s="507">
        <v>0</v>
      </c>
      <c r="N419" s="507">
        <v>0</v>
      </c>
      <c r="O419" s="506">
        <v>0</v>
      </c>
      <c r="P419" s="506">
        <v>0</v>
      </c>
      <c r="Q419" s="507">
        <v>0</v>
      </c>
      <c r="R419" s="507">
        <v>0</v>
      </c>
      <c r="S419" s="515">
        <v>0</v>
      </c>
      <c r="T419" s="510"/>
      <c r="U419" s="528"/>
    </row>
    <row r="420" spans="1:21">
      <c r="A420" s="479"/>
      <c r="B420" s="4" t="s">
        <v>47</v>
      </c>
      <c r="C420" s="506">
        <v>0.80298722816284862</v>
      </c>
      <c r="D420" s="508">
        <v>0</v>
      </c>
      <c r="E420" s="508">
        <v>0.73028319811804443</v>
      </c>
      <c r="F420" s="508">
        <v>0.8600876062870394</v>
      </c>
      <c r="G420" s="508">
        <v>0.68313675486133252</v>
      </c>
      <c r="H420" s="508">
        <v>0.75721243911577374</v>
      </c>
      <c r="I420" s="508">
        <v>0</v>
      </c>
      <c r="J420" s="509">
        <v>0.78229952374293632</v>
      </c>
      <c r="K420" s="506">
        <v>0</v>
      </c>
      <c r="L420" s="507">
        <v>0</v>
      </c>
      <c r="M420" s="507">
        <v>0</v>
      </c>
      <c r="N420" s="507">
        <v>0</v>
      </c>
      <c r="O420" s="506">
        <v>0</v>
      </c>
      <c r="P420" s="506">
        <v>0</v>
      </c>
      <c r="Q420" s="507">
        <v>0</v>
      </c>
      <c r="R420" s="507">
        <v>0</v>
      </c>
      <c r="S420" s="515">
        <v>0</v>
      </c>
      <c r="T420" s="536"/>
      <c r="U420" s="542"/>
    </row>
    <row r="421" spans="1:21">
      <c r="A421" s="479"/>
      <c r="B421" s="4" t="s">
        <v>65</v>
      </c>
      <c r="C421" s="506">
        <v>0.74917147600127054</v>
      </c>
      <c r="D421" s="508">
        <v>0</v>
      </c>
      <c r="E421" s="508">
        <v>0.685922918604979</v>
      </c>
      <c r="F421" s="508">
        <v>0.85495869076635755</v>
      </c>
      <c r="G421" s="508">
        <v>0.70813889399228369</v>
      </c>
      <c r="H421" s="508">
        <v>0.45956160241874527</v>
      </c>
      <c r="I421" s="508">
        <v>0</v>
      </c>
      <c r="J421" s="509">
        <v>0.73927016776987642</v>
      </c>
      <c r="K421" s="506">
        <v>0</v>
      </c>
      <c r="L421" s="507">
        <v>0</v>
      </c>
      <c r="M421" s="507">
        <v>0</v>
      </c>
      <c r="N421" s="507">
        <v>0</v>
      </c>
      <c r="O421" s="506">
        <v>0</v>
      </c>
      <c r="P421" s="506">
        <v>0</v>
      </c>
      <c r="Q421" s="507">
        <v>0</v>
      </c>
      <c r="R421" s="507">
        <v>0</v>
      </c>
      <c r="S421" s="515">
        <v>0</v>
      </c>
      <c r="T421" s="543"/>
      <c r="U421" s="550"/>
    </row>
    <row r="422" spans="1:21">
      <c r="A422" s="479"/>
      <c r="B422" s="4" t="s">
        <v>89</v>
      </c>
      <c r="C422" s="506">
        <v>-5.3815752161578079</v>
      </c>
      <c r="D422" s="508">
        <v>0</v>
      </c>
      <c r="E422" s="508">
        <v>-4.4360279513065421</v>
      </c>
      <c r="F422" s="508">
        <v>-0.51289155206818426</v>
      </c>
      <c r="G422" s="508">
        <v>2.5002139130951173</v>
      </c>
      <c r="H422" s="508">
        <v>-29.765083669702847</v>
      </c>
      <c r="I422" s="508">
        <v>0</v>
      </c>
      <c r="J422" s="509">
        <v>-4.3029355973059902</v>
      </c>
      <c r="K422" s="506">
        <v>0</v>
      </c>
      <c r="L422" s="507">
        <v>0</v>
      </c>
      <c r="M422" s="507">
        <v>0</v>
      </c>
      <c r="N422" s="507">
        <v>0</v>
      </c>
      <c r="O422" s="506">
        <v>0</v>
      </c>
      <c r="P422" s="506">
        <v>0</v>
      </c>
      <c r="Q422" s="507">
        <v>0</v>
      </c>
      <c r="R422" s="507">
        <v>0</v>
      </c>
      <c r="S422" s="515">
        <v>0</v>
      </c>
      <c r="T422" s="510"/>
      <c r="U422" s="528"/>
    </row>
    <row r="423" spans="1:21">
      <c r="A423" s="479"/>
      <c r="B423" s="4" t="s">
        <v>67</v>
      </c>
      <c r="C423" s="506">
        <v>9.3462457890843287E-2</v>
      </c>
      <c r="D423" s="508">
        <v>0</v>
      </c>
      <c r="E423" s="508">
        <v>0.26573574207557982</v>
      </c>
      <c r="F423" s="508">
        <v>0.13991239371296058</v>
      </c>
      <c r="G423" s="508">
        <v>0.24035702900860695</v>
      </c>
      <c r="H423" s="508">
        <v>0.16972648932184339</v>
      </c>
      <c r="I423" s="508">
        <v>0</v>
      </c>
      <c r="J423" s="509">
        <v>0.13781431732374788</v>
      </c>
      <c r="K423" s="506">
        <v>0</v>
      </c>
      <c r="L423" s="507">
        <v>0</v>
      </c>
      <c r="M423" s="507">
        <v>0</v>
      </c>
      <c r="N423" s="507">
        <v>0</v>
      </c>
      <c r="O423" s="506">
        <v>0</v>
      </c>
      <c r="P423" s="506">
        <v>0</v>
      </c>
      <c r="Q423" s="507">
        <v>0</v>
      </c>
      <c r="R423" s="507">
        <v>0</v>
      </c>
      <c r="S423" s="515">
        <v>0</v>
      </c>
      <c r="T423" s="536"/>
      <c r="U423" s="542"/>
    </row>
    <row r="424" spans="1:21">
      <c r="A424" s="479"/>
      <c r="B424" s="4" t="s">
        <v>69</v>
      </c>
      <c r="C424" s="506">
        <v>8.8833354308624435E-2</v>
      </c>
      <c r="D424" s="508">
        <v>0</v>
      </c>
      <c r="E424" s="508">
        <v>0.30595731483830951</v>
      </c>
      <c r="F424" s="508">
        <v>0.10825868126998196</v>
      </c>
      <c r="G424" s="508">
        <v>0.19055667830240677</v>
      </c>
      <c r="H424" s="508">
        <v>0.45993953136810278</v>
      </c>
      <c r="I424" s="508">
        <v>0</v>
      </c>
      <c r="J424" s="509">
        <v>0.13624825344723646</v>
      </c>
      <c r="K424" s="506">
        <v>0</v>
      </c>
      <c r="L424" s="507">
        <v>0</v>
      </c>
      <c r="M424" s="507">
        <v>0</v>
      </c>
      <c r="N424" s="507">
        <v>0</v>
      </c>
      <c r="O424" s="506">
        <v>0</v>
      </c>
      <c r="P424" s="506">
        <v>0</v>
      </c>
      <c r="Q424" s="507">
        <v>0</v>
      </c>
      <c r="R424" s="507">
        <v>0</v>
      </c>
      <c r="S424" s="515">
        <v>0</v>
      </c>
      <c r="T424" s="543"/>
      <c r="U424" s="550"/>
    </row>
    <row r="425" spans="1:21">
      <c r="A425" s="479"/>
      <c r="B425" s="4" t="s">
        <v>93</v>
      </c>
      <c r="C425" s="506">
        <v>-0.4629103582218852</v>
      </c>
      <c r="D425" s="508">
        <v>0</v>
      </c>
      <c r="E425" s="508">
        <v>4.0221572762729698</v>
      </c>
      <c r="F425" s="508">
        <v>-3.1653712442978614</v>
      </c>
      <c r="G425" s="508">
        <v>-4.9800350706200174</v>
      </c>
      <c r="H425" s="508">
        <v>29.021304204625942</v>
      </c>
      <c r="I425" s="508">
        <v>0</v>
      </c>
      <c r="J425" s="509">
        <v>-0.15660638765114254</v>
      </c>
      <c r="K425" s="506">
        <v>0</v>
      </c>
      <c r="L425" s="507">
        <v>0</v>
      </c>
      <c r="M425" s="507">
        <v>0</v>
      </c>
      <c r="N425" s="507">
        <v>0</v>
      </c>
      <c r="O425" s="506">
        <v>0</v>
      </c>
      <c r="P425" s="506">
        <v>0</v>
      </c>
      <c r="Q425" s="507">
        <v>0</v>
      </c>
      <c r="R425" s="507">
        <v>0</v>
      </c>
      <c r="S425" s="515">
        <v>0</v>
      </c>
      <c r="T425" s="510"/>
      <c r="U425" s="528"/>
    </row>
    <row r="426" spans="1:21">
      <c r="A426" s="479"/>
      <c r="B426" s="4" t="s">
        <v>71</v>
      </c>
      <c r="C426" s="506">
        <v>7.7694833183543949E-2</v>
      </c>
      <c r="D426" s="508">
        <v>0</v>
      </c>
      <c r="E426" s="508">
        <v>3.9810598063757278E-3</v>
      </c>
      <c r="F426" s="508">
        <v>0</v>
      </c>
      <c r="G426" s="508">
        <v>6.9599404951652316E-2</v>
      </c>
      <c r="H426" s="508">
        <v>7.3061071562382909E-2</v>
      </c>
      <c r="I426" s="508">
        <v>0</v>
      </c>
      <c r="J426" s="509">
        <v>6.1691329489278045E-2</v>
      </c>
      <c r="K426" s="506">
        <v>0</v>
      </c>
      <c r="L426" s="507">
        <v>0</v>
      </c>
      <c r="M426" s="507">
        <v>0</v>
      </c>
      <c r="N426" s="507">
        <v>0</v>
      </c>
      <c r="O426" s="506">
        <v>0</v>
      </c>
      <c r="P426" s="506">
        <v>0</v>
      </c>
      <c r="Q426" s="507">
        <v>0</v>
      </c>
      <c r="R426" s="507">
        <v>0</v>
      </c>
      <c r="S426" s="515">
        <v>0</v>
      </c>
      <c r="T426" s="536"/>
      <c r="U426" s="542"/>
    </row>
    <row r="427" spans="1:21">
      <c r="A427" s="479"/>
      <c r="B427" s="4" t="s">
        <v>73</v>
      </c>
      <c r="C427" s="506">
        <v>0.10952098428051756</v>
      </c>
      <c r="D427" s="508">
        <v>0</v>
      </c>
      <c r="E427" s="508">
        <v>8.1197665567114951E-3</v>
      </c>
      <c r="F427" s="508">
        <v>3.6782627963660539E-2</v>
      </c>
      <c r="G427" s="508">
        <v>0.10130442770530958</v>
      </c>
      <c r="H427" s="508">
        <v>8.0498866213151929E-2</v>
      </c>
      <c r="I427" s="508">
        <v>0</v>
      </c>
      <c r="J427" s="509">
        <v>8.9173489899733255E-2</v>
      </c>
      <c r="K427" s="692">
        <v>0</v>
      </c>
      <c r="L427" s="507">
        <v>0</v>
      </c>
      <c r="M427" s="507">
        <v>0</v>
      </c>
      <c r="N427" s="507">
        <v>0</v>
      </c>
      <c r="O427" s="506">
        <v>0</v>
      </c>
      <c r="P427" s="506">
        <v>0</v>
      </c>
      <c r="Q427" s="507">
        <v>0</v>
      </c>
      <c r="R427" s="507">
        <v>0</v>
      </c>
      <c r="S427" s="515">
        <v>0</v>
      </c>
      <c r="T427" s="543"/>
      <c r="U427" s="550"/>
    </row>
    <row r="428" spans="1:21">
      <c r="A428" s="479"/>
      <c r="B428" s="4" t="s">
        <v>99</v>
      </c>
      <c r="C428" s="506">
        <v>3.1826151096973607</v>
      </c>
      <c r="D428" s="508">
        <v>0</v>
      </c>
      <c r="E428" s="508">
        <v>0.41387067503357672</v>
      </c>
      <c r="F428" s="508">
        <v>0</v>
      </c>
      <c r="G428" s="508">
        <v>3.1705022753657262</v>
      </c>
      <c r="H428" s="508">
        <v>0.74377946507690196</v>
      </c>
      <c r="I428" s="508">
        <v>0</v>
      </c>
      <c r="J428" s="509">
        <v>2.748216041045521</v>
      </c>
      <c r="K428" s="506">
        <v>0</v>
      </c>
      <c r="L428" s="507">
        <v>0</v>
      </c>
      <c r="M428" s="507">
        <v>0</v>
      </c>
      <c r="N428" s="507">
        <v>0</v>
      </c>
      <c r="O428" s="506">
        <v>0</v>
      </c>
      <c r="P428" s="506">
        <v>0</v>
      </c>
      <c r="Q428" s="507">
        <v>0</v>
      </c>
      <c r="R428" s="507">
        <v>0</v>
      </c>
      <c r="S428" s="515">
        <v>0</v>
      </c>
      <c r="T428" s="510"/>
      <c r="U428" s="528"/>
    </row>
    <row r="429" spans="1:21">
      <c r="A429" s="479"/>
      <c r="B429" s="4" t="s">
        <v>75</v>
      </c>
      <c r="C429" s="506">
        <v>0</v>
      </c>
      <c r="D429" s="508">
        <v>0</v>
      </c>
      <c r="E429" s="508">
        <v>0</v>
      </c>
      <c r="F429" s="508">
        <v>0</v>
      </c>
      <c r="G429" s="508">
        <v>0</v>
      </c>
      <c r="H429" s="508">
        <v>0</v>
      </c>
      <c r="I429" s="508">
        <v>0</v>
      </c>
      <c r="J429" s="509">
        <v>0</v>
      </c>
      <c r="K429" s="506">
        <v>0</v>
      </c>
      <c r="L429" s="507">
        <v>0</v>
      </c>
      <c r="M429" s="507">
        <v>0</v>
      </c>
      <c r="N429" s="507">
        <v>0</v>
      </c>
      <c r="O429" s="506">
        <v>0</v>
      </c>
      <c r="P429" s="506">
        <v>0</v>
      </c>
      <c r="Q429" s="507">
        <v>0</v>
      </c>
      <c r="R429" s="507">
        <v>0</v>
      </c>
      <c r="S429" s="515">
        <v>0</v>
      </c>
      <c r="T429" s="536"/>
      <c r="U429" s="542"/>
    </row>
    <row r="430" spans="1:21">
      <c r="A430" s="479"/>
      <c r="B430" s="4" t="s">
        <v>77</v>
      </c>
      <c r="C430" s="506">
        <v>5.0340698656982071E-4</v>
      </c>
      <c r="D430" s="508">
        <v>0</v>
      </c>
      <c r="E430" s="508">
        <v>0</v>
      </c>
      <c r="F430" s="508">
        <v>0</v>
      </c>
      <c r="G430" s="508">
        <v>0</v>
      </c>
      <c r="H430" s="508">
        <v>0</v>
      </c>
      <c r="I430" s="508">
        <v>0</v>
      </c>
      <c r="J430" s="509">
        <v>3.3872538444323024E-4</v>
      </c>
      <c r="K430" s="506">
        <v>0</v>
      </c>
      <c r="L430" s="507">
        <v>0</v>
      </c>
      <c r="M430" s="507">
        <v>0</v>
      </c>
      <c r="N430" s="507">
        <v>0</v>
      </c>
      <c r="O430" s="506">
        <v>0</v>
      </c>
      <c r="P430" s="506">
        <v>0</v>
      </c>
      <c r="Q430" s="507">
        <v>0</v>
      </c>
      <c r="R430" s="507">
        <v>0</v>
      </c>
      <c r="S430" s="515">
        <v>0</v>
      </c>
      <c r="T430" s="543"/>
      <c r="U430" s="550"/>
    </row>
    <row r="431" spans="1:21">
      <c r="A431" s="479"/>
      <c r="B431" s="4" t="s">
        <v>101</v>
      </c>
      <c r="C431" s="506">
        <v>0</v>
      </c>
      <c r="D431" s="508">
        <v>0</v>
      </c>
      <c r="E431" s="508">
        <v>0</v>
      </c>
      <c r="F431" s="508">
        <v>0</v>
      </c>
      <c r="G431" s="508">
        <v>0</v>
      </c>
      <c r="H431" s="508">
        <v>0</v>
      </c>
      <c r="I431" s="508">
        <v>0</v>
      </c>
      <c r="J431" s="509">
        <v>0</v>
      </c>
      <c r="K431" s="506">
        <v>0</v>
      </c>
      <c r="L431" s="507">
        <v>0</v>
      </c>
      <c r="M431" s="507">
        <v>0</v>
      </c>
      <c r="N431" s="507">
        <v>0</v>
      </c>
      <c r="O431" s="506">
        <v>0</v>
      </c>
      <c r="P431" s="506">
        <v>0</v>
      </c>
      <c r="Q431" s="507">
        <v>0</v>
      </c>
      <c r="R431" s="507">
        <v>0</v>
      </c>
      <c r="S431" s="515">
        <v>0</v>
      </c>
      <c r="T431" s="510"/>
      <c r="U431" s="528"/>
    </row>
    <row r="432" spans="1:21">
      <c r="A432" s="479"/>
      <c r="B432" s="4" t="s">
        <v>79</v>
      </c>
      <c r="C432" s="506">
        <v>2.5855480762764196E-2</v>
      </c>
      <c r="D432" s="508">
        <v>0</v>
      </c>
      <c r="E432" s="508">
        <v>0</v>
      </c>
      <c r="F432" s="508">
        <v>0</v>
      </c>
      <c r="G432" s="508">
        <v>6.9068111784082453E-3</v>
      </c>
      <c r="H432" s="508">
        <v>0</v>
      </c>
      <c r="I432" s="508">
        <v>0</v>
      </c>
      <c r="J432" s="509">
        <v>1.819482944403774E-2</v>
      </c>
      <c r="K432" s="506">
        <v>0</v>
      </c>
      <c r="L432" s="507">
        <v>0</v>
      </c>
      <c r="M432" s="507">
        <v>0</v>
      </c>
      <c r="N432" s="507">
        <v>0</v>
      </c>
      <c r="O432" s="506">
        <v>0</v>
      </c>
      <c r="P432" s="506">
        <v>0</v>
      </c>
      <c r="Q432" s="507">
        <v>0</v>
      </c>
      <c r="R432" s="507">
        <v>0</v>
      </c>
      <c r="S432" s="515">
        <v>0</v>
      </c>
      <c r="T432" s="536"/>
      <c r="U432" s="542"/>
    </row>
    <row r="433" spans="1:21">
      <c r="A433" s="479"/>
      <c r="B433" s="4" t="s">
        <v>81</v>
      </c>
      <c r="C433" s="506">
        <v>5.1970778423017686E-2</v>
      </c>
      <c r="D433" s="508">
        <v>0</v>
      </c>
      <c r="E433" s="508">
        <v>0</v>
      </c>
      <c r="F433" s="508">
        <v>0</v>
      </c>
      <c r="G433" s="508">
        <v>0</v>
      </c>
      <c r="H433" s="508">
        <v>0</v>
      </c>
      <c r="I433" s="508">
        <v>0</v>
      </c>
      <c r="J433" s="509">
        <v>3.4969363498710625E-2</v>
      </c>
      <c r="K433" s="506">
        <v>0</v>
      </c>
      <c r="L433" s="507">
        <v>0</v>
      </c>
      <c r="M433" s="507">
        <v>0</v>
      </c>
      <c r="N433" s="507">
        <v>0</v>
      </c>
      <c r="O433" s="506">
        <v>0</v>
      </c>
      <c r="P433" s="506">
        <v>0</v>
      </c>
      <c r="Q433" s="507">
        <v>0</v>
      </c>
      <c r="R433" s="507">
        <v>0</v>
      </c>
      <c r="S433" s="515">
        <v>0</v>
      </c>
      <c r="T433" s="543"/>
      <c r="U433" s="550"/>
    </row>
    <row r="434" spans="1:21">
      <c r="A434" s="479"/>
      <c r="B434" s="4" t="s">
        <v>107</v>
      </c>
      <c r="C434" s="506">
        <v>2.6115297660253489</v>
      </c>
      <c r="D434" s="508">
        <v>0</v>
      </c>
      <c r="E434" s="508">
        <v>0</v>
      </c>
      <c r="F434" s="508">
        <v>0</v>
      </c>
      <c r="G434" s="508">
        <v>-0.69068111784082453</v>
      </c>
      <c r="H434" s="508">
        <v>0</v>
      </c>
      <c r="I434" s="508">
        <v>0</v>
      </c>
      <c r="J434" s="509">
        <v>1.6774534054672885</v>
      </c>
      <c r="K434" s="506">
        <v>0</v>
      </c>
      <c r="L434" s="507">
        <v>0</v>
      </c>
      <c r="M434" s="507">
        <v>0</v>
      </c>
      <c r="N434" s="507">
        <v>0</v>
      </c>
      <c r="O434" s="506">
        <v>0</v>
      </c>
      <c r="P434" s="506">
        <v>0</v>
      </c>
      <c r="Q434" s="507">
        <v>0</v>
      </c>
      <c r="R434" s="507">
        <v>0</v>
      </c>
      <c r="S434" s="515">
        <v>0</v>
      </c>
      <c r="T434" s="551"/>
      <c r="U434" s="554"/>
    </row>
    <row r="435" spans="1:21">
      <c r="A435" s="479"/>
      <c r="B435" s="4" t="s">
        <v>83</v>
      </c>
      <c r="C435" s="506">
        <v>0</v>
      </c>
      <c r="D435" s="508">
        <v>0</v>
      </c>
      <c r="E435" s="508">
        <v>0</v>
      </c>
      <c r="F435" s="508">
        <v>0</v>
      </c>
      <c r="G435" s="508">
        <v>0</v>
      </c>
      <c r="H435" s="508">
        <v>0</v>
      </c>
      <c r="I435" s="508">
        <v>0</v>
      </c>
      <c r="J435" s="509">
        <v>0</v>
      </c>
      <c r="K435" s="506">
        <v>0</v>
      </c>
      <c r="L435" s="507">
        <v>0</v>
      </c>
      <c r="M435" s="507">
        <v>0</v>
      </c>
      <c r="N435" s="507">
        <v>0</v>
      </c>
      <c r="O435" s="506">
        <v>0</v>
      </c>
      <c r="P435" s="506">
        <v>0</v>
      </c>
      <c r="Q435" s="507">
        <v>0</v>
      </c>
      <c r="R435" s="507">
        <v>0</v>
      </c>
      <c r="S435" s="515">
        <v>0</v>
      </c>
      <c r="T435" s="506"/>
      <c r="U435" s="527"/>
    </row>
    <row r="436" spans="1:21">
      <c r="A436" s="479"/>
      <c r="B436" s="4" t="s">
        <v>85</v>
      </c>
      <c r="C436" s="506">
        <v>0</v>
      </c>
      <c r="D436" s="508">
        <v>0</v>
      </c>
      <c r="E436" s="508">
        <v>0</v>
      </c>
      <c r="F436" s="508">
        <v>0</v>
      </c>
      <c r="G436" s="508">
        <v>0</v>
      </c>
      <c r="H436" s="508">
        <v>0</v>
      </c>
      <c r="I436" s="508">
        <v>0</v>
      </c>
      <c r="J436" s="509">
        <v>0</v>
      </c>
      <c r="K436" s="506">
        <v>0</v>
      </c>
      <c r="L436" s="507">
        <v>0</v>
      </c>
      <c r="M436" s="507">
        <v>0</v>
      </c>
      <c r="N436" s="507">
        <v>0</v>
      </c>
      <c r="O436" s="506">
        <v>0</v>
      </c>
      <c r="P436" s="506">
        <v>0</v>
      </c>
      <c r="Q436" s="507">
        <v>0</v>
      </c>
      <c r="R436" s="507">
        <v>0</v>
      </c>
      <c r="S436" s="515">
        <v>0</v>
      </c>
      <c r="T436" s="506"/>
      <c r="U436" s="527"/>
    </row>
    <row r="437" spans="1:21">
      <c r="A437" s="502"/>
      <c r="B437" s="4" t="s">
        <v>109</v>
      </c>
      <c r="C437" s="506">
        <v>0</v>
      </c>
      <c r="D437" s="508">
        <v>0</v>
      </c>
      <c r="E437" s="508">
        <v>0</v>
      </c>
      <c r="F437" s="508">
        <v>0</v>
      </c>
      <c r="G437" s="508">
        <v>0</v>
      </c>
      <c r="H437" s="508">
        <v>0</v>
      </c>
      <c r="I437" s="508">
        <v>0</v>
      </c>
      <c r="J437" s="509">
        <v>0</v>
      </c>
      <c r="K437" s="506">
        <v>0</v>
      </c>
      <c r="L437" s="507">
        <v>0</v>
      </c>
      <c r="M437" s="507">
        <v>0</v>
      </c>
      <c r="N437" s="507">
        <v>0</v>
      </c>
      <c r="O437" s="506">
        <v>0</v>
      </c>
      <c r="P437" s="506">
        <v>0</v>
      </c>
      <c r="Q437" s="507">
        <v>0</v>
      </c>
      <c r="R437" s="507">
        <v>0</v>
      </c>
      <c r="S437" s="515">
        <v>0</v>
      </c>
      <c r="T437" s="510"/>
      <c r="U437" s="528"/>
    </row>
    <row r="438" spans="1:21">
      <c r="A438" s="478" t="s">
        <v>137</v>
      </c>
      <c r="B438" s="3" t="s">
        <v>39</v>
      </c>
      <c r="C438" s="463">
        <v>0</v>
      </c>
      <c r="D438" s="464">
        <v>0</v>
      </c>
      <c r="E438" s="464">
        <v>0</v>
      </c>
      <c r="F438" s="464">
        <v>0</v>
      </c>
      <c r="G438" s="464">
        <v>0</v>
      </c>
      <c r="H438" s="464">
        <v>0</v>
      </c>
      <c r="I438" s="464">
        <v>0</v>
      </c>
      <c r="J438" s="466">
        <v>0</v>
      </c>
      <c r="K438" s="463">
        <v>0</v>
      </c>
      <c r="L438" s="464">
        <v>0</v>
      </c>
      <c r="M438" s="464">
        <v>0</v>
      </c>
      <c r="N438" s="464">
        <v>0</v>
      </c>
      <c r="O438" s="463">
        <v>0</v>
      </c>
      <c r="P438" s="463">
        <v>0</v>
      </c>
      <c r="Q438" s="464">
        <v>1</v>
      </c>
      <c r="R438" s="464">
        <v>0</v>
      </c>
      <c r="S438" s="516">
        <v>1</v>
      </c>
      <c r="T438" s="536"/>
      <c r="U438" s="542"/>
    </row>
    <row r="439" spans="1:21">
      <c r="A439" s="479"/>
      <c r="B439" s="4" t="s">
        <v>41</v>
      </c>
      <c r="C439" s="506">
        <v>0.86420371294701082</v>
      </c>
      <c r="D439" s="508">
        <v>0.87353203035570437</v>
      </c>
      <c r="E439" s="508">
        <v>0.87524210836425631</v>
      </c>
      <c r="F439" s="508">
        <v>0.79050160278935222</v>
      </c>
      <c r="G439" s="508">
        <v>0.94272841485075598</v>
      </c>
      <c r="H439" s="508">
        <v>0</v>
      </c>
      <c r="I439" s="508">
        <v>0</v>
      </c>
      <c r="J439" s="509">
        <v>0.864141770461888</v>
      </c>
      <c r="K439" s="506">
        <v>0</v>
      </c>
      <c r="L439" s="507">
        <v>0.8464385693683899</v>
      </c>
      <c r="M439" s="507">
        <v>0.7739709969850378</v>
      </c>
      <c r="N439" s="507">
        <v>0.77480501338714058</v>
      </c>
      <c r="O439" s="506">
        <v>0.80006239274301416</v>
      </c>
      <c r="P439" s="506">
        <v>0</v>
      </c>
      <c r="Q439" s="507">
        <v>1</v>
      </c>
      <c r="R439" s="507">
        <v>0</v>
      </c>
      <c r="S439" s="515">
        <v>1</v>
      </c>
      <c r="T439" s="543"/>
      <c r="U439" s="550"/>
    </row>
    <row r="440" spans="1:21">
      <c r="A440" s="479"/>
      <c r="B440" s="505" t="s">
        <v>87</v>
      </c>
      <c r="C440" s="510">
        <v>0</v>
      </c>
      <c r="D440" s="512">
        <v>0</v>
      </c>
      <c r="E440" s="512">
        <v>0</v>
      </c>
      <c r="F440" s="512">
        <v>0</v>
      </c>
      <c r="G440" s="512">
        <v>0</v>
      </c>
      <c r="H440" s="512">
        <v>0</v>
      </c>
      <c r="I440" s="512">
        <v>0</v>
      </c>
      <c r="J440" s="514">
        <v>0</v>
      </c>
      <c r="K440" s="510">
        <v>0</v>
      </c>
      <c r="L440" s="511">
        <v>0</v>
      </c>
      <c r="M440" s="511">
        <v>0</v>
      </c>
      <c r="N440" s="511">
        <v>0</v>
      </c>
      <c r="O440" s="510">
        <v>0</v>
      </c>
      <c r="P440" s="510">
        <v>0</v>
      </c>
      <c r="Q440" s="511">
        <v>0</v>
      </c>
      <c r="R440" s="511">
        <v>0</v>
      </c>
      <c r="S440" s="517">
        <v>0</v>
      </c>
      <c r="T440" s="510"/>
      <c r="U440" s="528"/>
    </row>
    <row r="441" spans="1:21">
      <c r="A441" s="479"/>
      <c r="B441" s="4" t="s">
        <v>43</v>
      </c>
      <c r="C441" s="506">
        <v>0</v>
      </c>
      <c r="D441" s="508">
        <v>0</v>
      </c>
      <c r="E441" s="508">
        <v>0</v>
      </c>
      <c r="F441" s="508">
        <v>0</v>
      </c>
      <c r="G441" s="508">
        <v>0</v>
      </c>
      <c r="H441" s="508">
        <v>0</v>
      </c>
      <c r="I441" s="508">
        <v>0</v>
      </c>
      <c r="J441" s="509">
        <v>0</v>
      </c>
      <c r="K441" s="506">
        <v>0</v>
      </c>
      <c r="L441" s="507">
        <v>0</v>
      </c>
      <c r="M441" s="507">
        <v>0</v>
      </c>
      <c r="N441" s="507">
        <v>0</v>
      </c>
      <c r="O441" s="506">
        <v>0</v>
      </c>
      <c r="P441" s="506">
        <v>0</v>
      </c>
      <c r="Q441" s="507">
        <v>0</v>
      </c>
      <c r="R441" s="507">
        <v>0</v>
      </c>
      <c r="S441" s="515">
        <v>0</v>
      </c>
      <c r="T441" s="536"/>
      <c r="U441" s="542"/>
    </row>
    <row r="442" spans="1:21">
      <c r="A442" s="479"/>
      <c r="B442" s="4" t="s">
        <v>45</v>
      </c>
      <c r="C442" s="506">
        <v>5.232904503518122E-4</v>
      </c>
      <c r="D442" s="508">
        <v>2.5505076325692867E-2</v>
      </c>
      <c r="E442" s="508">
        <v>2.2863961739043225E-2</v>
      </c>
      <c r="F442" s="508">
        <v>1.3411742302303754E-2</v>
      </c>
      <c r="G442" s="508">
        <v>1.4252913399471472E-2</v>
      </c>
      <c r="H442" s="508">
        <v>0</v>
      </c>
      <c r="I442" s="508">
        <v>0</v>
      </c>
      <c r="J442" s="509">
        <v>1.6511365692158324E-2</v>
      </c>
      <c r="K442" s="506">
        <v>0</v>
      </c>
      <c r="L442" s="507">
        <v>8.9366866394630373E-3</v>
      </c>
      <c r="M442" s="507">
        <v>1.640671788860508E-2</v>
      </c>
      <c r="N442" s="507">
        <v>1.0476892631252183E-3</v>
      </c>
      <c r="O442" s="506">
        <v>1.3227012446169136E-2</v>
      </c>
      <c r="P442" s="506">
        <v>0</v>
      </c>
      <c r="Q442" s="507">
        <v>0</v>
      </c>
      <c r="R442" s="507">
        <v>0</v>
      </c>
      <c r="S442" s="515">
        <v>0</v>
      </c>
      <c r="T442" s="543"/>
      <c r="U442" s="550"/>
    </row>
    <row r="443" spans="1:21">
      <c r="A443" s="479"/>
      <c r="B443" s="4" t="s">
        <v>95</v>
      </c>
      <c r="C443" s="506">
        <v>0</v>
      </c>
      <c r="D443" s="508">
        <v>0</v>
      </c>
      <c r="E443" s="508">
        <v>0</v>
      </c>
      <c r="F443" s="508">
        <v>0</v>
      </c>
      <c r="G443" s="508">
        <v>0</v>
      </c>
      <c r="H443" s="508">
        <v>0</v>
      </c>
      <c r="I443" s="508">
        <v>0</v>
      </c>
      <c r="J443" s="509">
        <v>0</v>
      </c>
      <c r="K443" s="506">
        <v>0</v>
      </c>
      <c r="L443" s="507">
        <v>0</v>
      </c>
      <c r="M443" s="507">
        <v>0</v>
      </c>
      <c r="N443" s="507">
        <v>0</v>
      </c>
      <c r="O443" s="506">
        <v>0</v>
      </c>
      <c r="P443" s="506">
        <v>0</v>
      </c>
      <c r="Q443" s="507">
        <v>0</v>
      </c>
      <c r="R443" s="507">
        <v>0</v>
      </c>
      <c r="S443" s="515">
        <v>0</v>
      </c>
      <c r="T443" s="510"/>
      <c r="U443" s="528"/>
    </row>
    <row r="444" spans="1:21">
      <c r="A444" s="479"/>
      <c r="B444" s="4" t="s">
        <v>49</v>
      </c>
      <c r="C444" s="506">
        <v>0</v>
      </c>
      <c r="D444" s="508">
        <v>0</v>
      </c>
      <c r="E444" s="508">
        <v>0</v>
      </c>
      <c r="F444" s="508">
        <v>0</v>
      </c>
      <c r="G444" s="508">
        <v>0</v>
      </c>
      <c r="H444" s="508">
        <v>0</v>
      </c>
      <c r="I444" s="508">
        <v>0</v>
      </c>
      <c r="J444" s="509">
        <v>0</v>
      </c>
      <c r="K444" s="506">
        <v>0</v>
      </c>
      <c r="L444" s="507">
        <v>0</v>
      </c>
      <c r="M444" s="507">
        <v>0</v>
      </c>
      <c r="N444" s="507">
        <v>0</v>
      </c>
      <c r="O444" s="506">
        <v>0</v>
      </c>
      <c r="P444" s="506">
        <v>0</v>
      </c>
      <c r="Q444" s="507">
        <v>0</v>
      </c>
      <c r="R444" s="507">
        <v>0</v>
      </c>
      <c r="S444" s="515">
        <v>0</v>
      </c>
      <c r="T444" s="536"/>
      <c r="U444" s="542"/>
    </row>
    <row r="445" spans="1:21">
      <c r="A445" s="479"/>
      <c r="B445" s="4" t="s">
        <v>51</v>
      </c>
      <c r="C445" s="506">
        <v>1.4475018918962436E-3</v>
      </c>
      <c r="D445" s="508">
        <v>6.3649218537629157E-2</v>
      </c>
      <c r="E445" s="508">
        <v>5.3046020960786283E-2</v>
      </c>
      <c r="F445" s="508">
        <v>0.16097718008823275</v>
      </c>
      <c r="G445" s="508">
        <v>3.550231772299961E-2</v>
      </c>
      <c r="H445" s="508">
        <v>0</v>
      </c>
      <c r="I445" s="508">
        <v>0</v>
      </c>
      <c r="J445" s="509">
        <v>5.8714335692914107E-2</v>
      </c>
      <c r="K445" s="506">
        <v>0</v>
      </c>
      <c r="L445" s="507">
        <v>0.1136735460571761</v>
      </c>
      <c r="M445" s="507">
        <v>0.13031291110212481</v>
      </c>
      <c r="N445" s="507">
        <v>0.14320360094680068</v>
      </c>
      <c r="O445" s="506">
        <v>0.12474189828363916</v>
      </c>
      <c r="P445" s="506">
        <v>0</v>
      </c>
      <c r="Q445" s="507">
        <v>0</v>
      </c>
      <c r="R445" s="507">
        <v>0</v>
      </c>
      <c r="S445" s="515">
        <v>0</v>
      </c>
      <c r="T445" s="543"/>
      <c r="U445" s="550"/>
    </row>
    <row r="446" spans="1:21">
      <c r="A446" s="479"/>
      <c r="B446" s="4" t="s">
        <v>97</v>
      </c>
      <c r="C446" s="506">
        <v>0</v>
      </c>
      <c r="D446" s="508">
        <v>0</v>
      </c>
      <c r="E446" s="508">
        <v>0</v>
      </c>
      <c r="F446" s="508">
        <v>0</v>
      </c>
      <c r="G446" s="508">
        <v>0</v>
      </c>
      <c r="H446" s="508">
        <v>0</v>
      </c>
      <c r="I446" s="508">
        <v>0</v>
      </c>
      <c r="J446" s="509">
        <v>0</v>
      </c>
      <c r="K446" s="506">
        <v>0</v>
      </c>
      <c r="L446" s="507">
        <v>0</v>
      </c>
      <c r="M446" s="507">
        <v>0</v>
      </c>
      <c r="N446" s="507">
        <v>0</v>
      </c>
      <c r="O446" s="506">
        <v>0</v>
      </c>
      <c r="P446" s="506">
        <v>0</v>
      </c>
      <c r="Q446" s="507">
        <v>0</v>
      </c>
      <c r="R446" s="507">
        <v>0</v>
      </c>
      <c r="S446" s="515">
        <v>0</v>
      </c>
      <c r="T446" s="510"/>
      <c r="U446" s="528"/>
    </row>
    <row r="447" spans="1:21">
      <c r="A447" s="479"/>
      <c r="B447" s="4" t="s">
        <v>53</v>
      </c>
      <c r="C447" s="506">
        <v>0</v>
      </c>
      <c r="D447" s="508">
        <v>0</v>
      </c>
      <c r="E447" s="508">
        <v>0</v>
      </c>
      <c r="F447" s="508">
        <v>0</v>
      </c>
      <c r="G447" s="508">
        <v>0</v>
      </c>
      <c r="H447" s="508">
        <v>0</v>
      </c>
      <c r="I447" s="508">
        <v>0</v>
      </c>
      <c r="J447" s="509">
        <v>0</v>
      </c>
      <c r="K447" s="506">
        <v>0</v>
      </c>
      <c r="L447" s="507">
        <v>0</v>
      </c>
      <c r="M447" s="507">
        <v>0</v>
      </c>
      <c r="N447" s="507">
        <v>0</v>
      </c>
      <c r="O447" s="506">
        <v>0</v>
      </c>
      <c r="P447" s="506">
        <v>0</v>
      </c>
      <c r="Q447" s="507">
        <v>0</v>
      </c>
      <c r="R447" s="507">
        <v>0</v>
      </c>
      <c r="S447" s="515">
        <v>0</v>
      </c>
      <c r="T447" s="536"/>
      <c r="U447" s="542"/>
    </row>
    <row r="448" spans="1:21">
      <c r="A448" s="479"/>
      <c r="B448" s="4" t="s">
        <v>55</v>
      </c>
      <c r="C448" s="506">
        <v>9.6768480203519728E-4</v>
      </c>
      <c r="D448" s="508">
        <v>4.2146845595405248E-3</v>
      </c>
      <c r="E448" s="508">
        <v>1.1337566442683782E-2</v>
      </c>
      <c r="F448" s="508">
        <v>8.8414122682529823E-5</v>
      </c>
      <c r="G448" s="508">
        <v>6.1896200667157647E-3</v>
      </c>
      <c r="H448" s="508">
        <v>0</v>
      </c>
      <c r="I448" s="508">
        <v>0</v>
      </c>
      <c r="J448" s="509">
        <v>6.1362323608541002E-3</v>
      </c>
      <c r="K448" s="506">
        <v>0</v>
      </c>
      <c r="L448" s="507">
        <v>9.4006602968392666E-3</v>
      </c>
      <c r="M448" s="507">
        <v>2.8552562205989999E-2</v>
      </c>
      <c r="N448" s="507">
        <v>4.3071669706258977E-3</v>
      </c>
      <c r="O448" s="506">
        <v>2.0886001858083286E-2</v>
      </c>
      <c r="P448" s="506">
        <v>0</v>
      </c>
      <c r="Q448" s="507">
        <v>0</v>
      </c>
      <c r="R448" s="507">
        <v>0</v>
      </c>
      <c r="S448" s="515">
        <v>0</v>
      </c>
      <c r="T448" s="543"/>
      <c r="U448" s="550"/>
    </row>
    <row r="449" spans="1:21">
      <c r="A449" s="479"/>
      <c r="B449" s="4" t="s">
        <v>103</v>
      </c>
      <c r="C449" s="506">
        <v>0</v>
      </c>
      <c r="D449" s="508">
        <v>0</v>
      </c>
      <c r="E449" s="508">
        <v>0</v>
      </c>
      <c r="F449" s="508">
        <v>0</v>
      </c>
      <c r="G449" s="508">
        <v>0</v>
      </c>
      <c r="H449" s="508">
        <v>0</v>
      </c>
      <c r="I449" s="508">
        <v>0</v>
      </c>
      <c r="J449" s="509">
        <v>0</v>
      </c>
      <c r="K449" s="506">
        <v>0</v>
      </c>
      <c r="L449" s="507">
        <v>0</v>
      </c>
      <c r="M449" s="507">
        <v>0</v>
      </c>
      <c r="N449" s="507">
        <v>0</v>
      </c>
      <c r="O449" s="506">
        <v>0</v>
      </c>
      <c r="P449" s="506">
        <v>0</v>
      </c>
      <c r="Q449" s="507">
        <v>0</v>
      </c>
      <c r="R449" s="507">
        <v>0</v>
      </c>
      <c r="S449" s="515">
        <v>0</v>
      </c>
      <c r="T449" s="510"/>
      <c r="U449" s="528"/>
    </row>
    <row r="450" spans="1:21">
      <c r="A450" s="479"/>
      <c r="B450" s="4" t="s">
        <v>57</v>
      </c>
      <c r="C450" s="506">
        <v>0</v>
      </c>
      <c r="D450" s="508">
        <v>0</v>
      </c>
      <c r="E450" s="508">
        <v>0</v>
      </c>
      <c r="F450" s="508">
        <v>0</v>
      </c>
      <c r="G450" s="508">
        <v>0</v>
      </c>
      <c r="H450" s="508">
        <v>0</v>
      </c>
      <c r="I450" s="508">
        <v>0</v>
      </c>
      <c r="J450" s="509">
        <v>0</v>
      </c>
      <c r="K450" s="506">
        <v>0</v>
      </c>
      <c r="L450" s="507">
        <v>0</v>
      </c>
      <c r="M450" s="507">
        <v>0</v>
      </c>
      <c r="N450" s="507">
        <v>0</v>
      </c>
      <c r="O450" s="506">
        <v>0</v>
      </c>
      <c r="P450" s="506">
        <v>0</v>
      </c>
      <c r="Q450" s="507">
        <v>0</v>
      </c>
      <c r="R450" s="507">
        <v>0</v>
      </c>
      <c r="S450" s="515">
        <v>0</v>
      </c>
      <c r="T450" s="536"/>
      <c r="U450" s="542"/>
    </row>
    <row r="451" spans="1:21">
      <c r="A451" s="479"/>
      <c r="B451" s="4" t="s">
        <v>59</v>
      </c>
      <c r="C451" s="506">
        <v>0.13237316244545702</v>
      </c>
      <c r="D451" s="508">
        <v>2.6036276213966317E-2</v>
      </c>
      <c r="E451" s="508">
        <v>3.1472520308895795E-2</v>
      </c>
      <c r="F451" s="508">
        <v>2.5850929255099683E-2</v>
      </c>
      <c r="G451" s="508">
        <v>2.5993155135814233E-4</v>
      </c>
      <c r="H451" s="508">
        <v>0</v>
      </c>
      <c r="I451" s="508">
        <v>0</v>
      </c>
      <c r="J451" s="509">
        <v>4.9338823784492156E-2</v>
      </c>
      <c r="K451" s="506">
        <v>0</v>
      </c>
      <c r="L451" s="507">
        <v>2.0470240764240789E-2</v>
      </c>
      <c r="M451" s="507">
        <v>4.7582143643241419E-2</v>
      </c>
      <c r="N451" s="507">
        <v>7.1514493034806559E-2</v>
      </c>
      <c r="O451" s="506">
        <v>3.8598815907783274E-2</v>
      </c>
      <c r="P451" s="506">
        <v>0</v>
      </c>
      <c r="Q451" s="507">
        <v>0</v>
      </c>
      <c r="R451" s="507">
        <v>0</v>
      </c>
      <c r="S451" s="515">
        <v>0</v>
      </c>
      <c r="T451" s="543"/>
      <c r="U451" s="550"/>
    </row>
    <row r="452" spans="1:21">
      <c r="A452" s="479"/>
      <c r="B452" s="4" t="s">
        <v>105</v>
      </c>
      <c r="C452" s="506">
        <v>0</v>
      </c>
      <c r="D452" s="508">
        <v>0</v>
      </c>
      <c r="E452" s="508">
        <v>0</v>
      </c>
      <c r="F452" s="508">
        <v>0</v>
      </c>
      <c r="G452" s="508">
        <v>0</v>
      </c>
      <c r="H452" s="508">
        <v>0</v>
      </c>
      <c r="I452" s="508">
        <v>0</v>
      </c>
      <c r="J452" s="509">
        <v>0</v>
      </c>
      <c r="K452" s="506">
        <v>0</v>
      </c>
      <c r="L452" s="507">
        <v>0</v>
      </c>
      <c r="M452" s="507">
        <v>0</v>
      </c>
      <c r="N452" s="507">
        <v>0</v>
      </c>
      <c r="O452" s="506">
        <v>0</v>
      </c>
      <c r="P452" s="506">
        <v>0</v>
      </c>
      <c r="Q452" s="507">
        <v>0</v>
      </c>
      <c r="R452" s="507">
        <v>0</v>
      </c>
      <c r="S452" s="515">
        <v>0</v>
      </c>
      <c r="T452" s="510"/>
      <c r="U452" s="528"/>
    </row>
    <row r="453" spans="1:21">
      <c r="A453" s="479"/>
      <c r="B453" s="4" t="s">
        <v>61</v>
      </c>
      <c r="C453" s="506">
        <v>0</v>
      </c>
      <c r="D453" s="508">
        <v>0</v>
      </c>
      <c r="E453" s="508">
        <v>0</v>
      </c>
      <c r="F453" s="508">
        <v>0</v>
      </c>
      <c r="G453" s="508">
        <v>0</v>
      </c>
      <c r="H453" s="508">
        <v>0</v>
      </c>
      <c r="I453" s="508">
        <v>0</v>
      </c>
      <c r="J453" s="509">
        <v>0</v>
      </c>
      <c r="K453" s="506">
        <v>0</v>
      </c>
      <c r="L453" s="507">
        <v>0</v>
      </c>
      <c r="M453" s="507">
        <v>0</v>
      </c>
      <c r="N453" s="507">
        <v>0</v>
      </c>
      <c r="O453" s="506">
        <v>0</v>
      </c>
      <c r="P453" s="506">
        <v>0</v>
      </c>
      <c r="Q453" s="507">
        <v>0</v>
      </c>
      <c r="R453" s="507">
        <v>0</v>
      </c>
      <c r="S453" s="515">
        <v>0</v>
      </c>
      <c r="T453" s="536"/>
      <c r="U453" s="542"/>
    </row>
    <row r="454" spans="1:21">
      <c r="A454" s="479"/>
      <c r="B454" s="4" t="s">
        <v>63</v>
      </c>
      <c r="C454" s="506">
        <v>4.8464746324890912E-4</v>
      </c>
      <c r="D454" s="508">
        <v>7.0627140074667255E-3</v>
      </c>
      <c r="E454" s="508">
        <v>6.0378221843345702E-3</v>
      </c>
      <c r="F454" s="508">
        <v>9.1701314423290551E-3</v>
      </c>
      <c r="G454" s="508">
        <v>1.0668024086990426E-3</v>
      </c>
      <c r="H454" s="508">
        <v>0</v>
      </c>
      <c r="I454" s="508">
        <v>0</v>
      </c>
      <c r="J454" s="509">
        <v>5.1574720076932893E-3</v>
      </c>
      <c r="K454" s="506">
        <v>0</v>
      </c>
      <c r="L454" s="507">
        <v>1.0802968738909211E-3</v>
      </c>
      <c r="M454" s="507">
        <v>3.174668175000896E-3</v>
      </c>
      <c r="N454" s="507">
        <v>5.1220363975010667E-3</v>
      </c>
      <c r="O454" s="506">
        <v>2.4838787613110196E-3</v>
      </c>
      <c r="P454" s="506">
        <v>0</v>
      </c>
      <c r="Q454" s="507">
        <v>0</v>
      </c>
      <c r="R454" s="507">
        <v>0</v>
      </c>
      <c r="S454" s="515">
        <v>0</v>
      </c>
      <c r="T454" s="543"/>
      <c r="U454" s="550"/>
    </row>
    <row r="455" spans="1:21">
      <c r="A455" s="479"/>
      <c r="B455" s="4" t="s">
        <v>91</v>
      </c>
      <c r="C455" s="506">
        <v>0</v>
      </c>
      <c r="D455" s="508">
        <v>0</v>
      </c>
      <c r="E455" s="508">
        <v>0</v>
      </c>
      <c r="F455" s="508">
        <v>0</v>
      </c>
      <c r="G455" s="508">
        <v>0</v>
      </c>
      <c r="H455" s="508">
        <v>0</v>
      </c>
      <c r="I455" s="508">
        <v>0</v>
      </c>
      <c r="J455" s="509">
        <v>0</v>
      </c>
      <c r="K455" s="506">
        <v>0</v>
      </c>
      <c r="L455" s="507">
        <v>0</v>
      </c>
      <c r="M455" s="507">
        <v>0</v>
      </c>
      <c r="N455" s="507">
        <v>0</v>
      </c>
      <c r="O455" s="506">
        <v>0</v>
      </c>
      <c r="P455" s="506">
        <v>0</v>
      </c>
      <c r="Q455" s="507">
        <v>0</v>
      </c>
      <c r="R455" s="507">
        <v>0</v>
      </c>
      <c r="S455" s="515">
        <v>0</v>
      </c>
      <c r="T455" s="510"/>
      <c r="U455" s="528"/>
    </row>
    <row r="456" spans="1:21">
      <c r="A456" s="479"/>
      <c r="B456" s="4" t="s">
        <v>47</v>
      </c>
      <c r="C456" s="506">
        <v>0</v>
      </c>
      <c r="D456" s="508">
        <v>0</v>
      </c>
      <c r="E456" s="508">
        <v>0</v>
      </c>
      <c r="F456" s="508">
        <v>0</v>
      </c>
      <c r="G456" s="508">
        <v>0</v>
      </c>
      <c r="H456" s="508">
        <v>0</v>
      </c>
      <c r="I456" s="508">
        <v>0</v>
      </c>
      <c r="J456" s="509">
        <v>0</v>
      </c>
      <c r="K456" s="506">
        <v>0</v>
      </c>
      <c r="L456" s="507">
        <v>0</v>
      </c>
      <c r="M456" s="507">
        <v>0</v>
      </c>
      <c r="N456" s="507">
        <v>0</v>
      </c>
      <c r="O456" s="506">
        <v>0</v>
      </c>
      <c r="P456" s="506">
        <v>0</v>
      </c>
      <c r="Q456" s="507">
        <v>0</v>
      </c>
      <c r="R456" s="507">
        <v>0</v>
      </c>
      <c r="S456" s="515">
        <v>0</v>
      </c>
      <c r="T456" s="536"/>
      <c r="U456" s="542"/>
    </row>
    <row r="457" spans="1:21">
      <c r="A457" s="479"/>
      <c r="B457" s="4" t="s">
        <v>65</v>
      </c>
      <c r="C457" s="506">
        <v>0.83718136273364008</v>
      </c>
      <c r="D457" s="508">
        <v>0.72939424031777556</v>
      </c>
      <c r="E457" s="508">
        <v>0.70001473730749397</v>
      </c>
      <c r="F457" s="508">
        <v>0.49257547889282671</v>
      </c>
      <c r="G457" s="508">
        <v>0.35033471469556904</v>
      </c>
      <c r="H457" s="508">
        <v>0</v>
      </c>
      <c r="I457" s="508">
        <v>0</v>
      </c>
      <c r="J457" s="509">
        <v>0.71970528336641115</v>
      </c>
      <c r="K457" s="506">
        <v>0</v>
      </c>
      <c r="L457" s="507">
        <v>0</v>
      </c>
      <c r="M457" s="507">
        <v>0</v>
      </c>
      <c r="N457" s="507">
        <v>0</v>
      </c>
      <c r="O457" s="506">
        <v>0</v>
      </c>
      <c r="P457" s="506">
        <v>0</v>
      </c>
      <c r="Q457" s="507">
        <v>0</v>
      </c>
      <c r="R457" s="507">
        <v>0</v>
      </c>
      <c r="S457" s="515">
        <v>0</v>
      </c>
      <c r="T457" s="543"/>
      <c r="U457" s="550"/>
    </row>
    <row r="458" spans="1:21">
      <c r="A458" s="479"/>
      <c r="B458" s="4" t="s">
        <v>89</v>
      </c>
      <c r="C458" s="506">
        <v>0</v>
      </c>
      <c r="D458" s="508">
        <v>0</v>
      </c>
      <c r="E458" s="508">
        <v>0</v>
      </c>
      <c r="F458" s="508">
        <v>0</v>
      </c>
      <c r="G458" s="508">
        <v>0</v>
      </c>
      <c r="H458" s="508">
        <v>0</v>
      </c>
      <c r="I458" s="508">
        <v>0</v>
      </c>
      <c r="J458" s="509">
        <v>0</v>
      </c>
      <c r="K458" s="506">
        <v>0</v>
      </c>
      <c r="L458" s="507">
        <v>0</v>
      </c>
      <c r="M458" s="507">
        <v>0</v>
      </c>
      <c r="N458" s="507">
        <v>0</v>
      </c>
      <c r="O458" s="506">
        <v>0</v>
      </c>
      <c r="P458" s="506">
        <v>0</v>
      </c>
      <c r="Q458" s="507">
        <v>0</v>
      </c>
      <c r="R458" s="507">
        <v>0</v>
      </c>
      <c r="S458" s="515">
        <v>0</v>
      </c>
      <c r="T458" s="510"/>
      <c r="U458" s="528"/>
    </row>
    <row r="459" spans="1:21">
      <c r="A459" s="479"/>
      <c r="B459" s="4" t="s">
        <v>67</v>
      </c>
      <c r="C459" s="506">
        <v>0</v>
      </c>
      <c r="D459" s="508">
        <v>0</v>
      </c>
      <c r="E459" s="508">
        <v>0</v>
      </c>
      <c r="F459" s="508">
        <v>0</v>
      </c>
      <c r="G459" s="508">
        <v>0</v>
      </c>
      <c r="H459" s="508">
        <v>0</v>
      </c>
      <c r="I459" s="508">
        <v>0</v>
      </c>
      <c r="J459" s="509">
        <v>0</v>
      </c>
      <c r="K459" s="506">
        <v>0</v>
      </c>
      <c r="L459" s="507">
        <v>0</v>
      </c>
      <c r="M459" s="507">
        <v>0</v>
      </c>
      <c r="N459" s="507">
        <v>0</v>
      </c>
      <c r="O459" s="506">
        <v>0</v>
      </c>
      <c r="P459" s="506">
        <v>0</v>
      </c>
      <c r="Q459" s="507">
        <v>0</v>
      </c>
      <c r="R459" s="507">
        <v>0</v>
      </c>
      <c r="S459" s="515">
        <v>0</v>
      </c>
      <c r="T459" s="536"/>
      <c r="U459" s="542"/>
    </row>
    <row r="460" spans="1:21">
      <c r="A460" s="479"/>
      <c r="B460" s="4" t="s">
        <v>69</v>
      </c>
      <c r="C460" s="506">
        <v>3.816700311383901E-3</v>
      </c>
      <c r="D460" s="508">
        <v>6.5528145089635711E-2</v>
      </c>
      <c r="E460" s="508">
        <v>7.8608798172573865E-2</v>
      </c>
      <c r="F460" s="508">
        <v>9.0193351576869585E-2</v>
      </c>
      <c r="G460" s="508">
        <v>2.8689831048772714E-2</v>
      </c>
      <c r="H460" s="508">
        <v>0</v>
      </c>
      <c r="I460" s="508">
        <v>0</v>
      </c>
      <c r="J460" s="509">
        <v>5.2797343399359202E-2</v>
      </c>
      <c r="K460" s="506">
        <v>0</v>
      </c>
      <c r="L460" s="507">
        <v>0</v>
      </c>
      <c r="M460" s="507">
        <v>0</v>
      </c>
      <c r="N460" s="507">
        <v>0</v>
      </c>
      <c r="O460" s="506">
        <v>0</v>
      </c>
      <c r="P460" s="506">
        <v>0</v>
      </c>
      <c r="Q460" s="507">
        <v>0</v>
      </c>
      <c r="R460" s="507">
        <v>0</v>
      </c>
      <c r="S460" s="515">
        <v>0</v>
      </c>
      <c r="T460" s="543"/>
      <c r="U460" s="550"/>
    </row>
    <row r="461" spans="1:21">
      <c r="A461" s="479"/>
      <c r="B461" s="4" t="s">
        <v>93</v>
      </c>
      <c r="C461" s="506">
        <v>0</v>
      </c>
      <c r="D461" s="508">
        <v>0</v>
      </c>
      <c r="E461" s="508">
        <v>0</v>
      </c>
      <c r="F461" s="508">
        <v>0</v>
      </c>
      <c r="G461" s="508">
        <v>0</v>
      </c>
      <c r="H461" s="508">
        <v>0</v>
      </c>
      <c r="I461" s="508">
        <v>0</v>
      </c>
      <c r="J461" s="509">
        <v>0</v>
      </c>
      <c r="K461" s="506">
        <v>0</v>
      </c>
      <c r="L461" s="507">
        <v>0</v>
      </c>
      <c r="M461" s="507">
        <v>0</v>
      </c>
      <c r="N461" s="507">
        <v>0</v>
      </c>
      <c r="O461" s="506">
        <v>0</v>
      </c>
      <c r="P461" s="506">
        <v>0</v>
      </c>
      <c r="Q461" s="507">
        <v>0</v>
      </c>
      <c r="R461" s="507">
        <v>0</v>
      </c>
      <c r="S461" s="515">
        <v>0</v>
      </c>
      <c r="T461" s="510"/>
      <c r="U461" s="528"/>
    </row>
    <row r="462" spans="1:21">
      <c r="A462" s="479"/>
      <c r="B462" s="4" t="s">
        <v>71</v>
      </c>
      <c r="C462" s="506">
        <v>0</v>
      </c>
      <c r="D462" s="508">
        <v>0</v>
      </c>
      <c r="E462" s="508">
        <v>0</v>
      </c>
      <c r="F462" s="508">
        <v>0</v>
      </c>
      <c r="G462" s="508">
        <v>0</v>
      </c>
      <c r="H462" s="508">
        <v>0</v>
      </c>
      <c r="I462" s="508">
        <v>0</v>
      </c>
      <c r="J462" s="509">
        <v>0</v>
      </c>
      <c r="K462" s="506">
        <v>0</v>
      </c>
      <c r="L462" s="507">
        <v>0</v>
      </c>
      <c r="M462" s="507">
        <v>0</v>
      </c>
      <c r="N462" s="507">
        <v>0</v>
      </c>
      <c r="O462" s="506">
        <v>0</v>
      </c>
      <c r="P462" s="506">
        <v>0</v>
      </c>
      <c r="Q462" s="507">
        <v>0</v>
      </c>
      <c r="R462" s="507">
        <v>0</v>
      </c>
      <c r="S462" s="515">
        <v>0</v>
      </c>
      <c r="T462" s="536"/>
      <c r="U462" s="542"/>
    </row>
    <row r="463" spans="1:21">
      <c r="A463" s="479"/>
      <c r="B463" s="4" t="s">
        <v>73</v>
      </c>
      <c r="C463" s="506">
        <v>4.7974370080992507E-2</v>
      </c>
      <c r="D463" s="508">
        <v>8.5101656823289601E-2</v>
      </c>
      <c r="E463" s="508">
        <v>0.12800088423844963</v>
      </c>
      <c r="F463" s="508">
        <v>0.337961509129245</v>
      </c>
      <c r="G463" s="508">
        <v>0.53187759005419188</v>
      </c>
      <c r="H463" s="508">
        <v>0</v>
      </c>
      <c r="I463" s="508">
        <v>0</v>
      </c>
      <c r="J463" s="509">
        <v>0.12493806021455163</v>
      </c>
      <c r="K463" s="506">
        <v>0</v>
      </c>
      <c r="L463" s="507">
        <v>0</v>
      </c>
      <c r="M463" s="507">
        <v>0</v>
      </c>
      <c r="N463" s="507">
        <v>0</v>
      </c>
      <c r="O463" s="506">
        <v>0</v>
      </c>
      <c r="P463" s="506">
        <v>0</v>
      </c>
      <c r="Q463" s="507">
        <v>0</v>
      </c>
      <c r="R463" s="507">
        <v>0</v>
      </c>
      <c r="S463" s="515">
        <v>0</v>
      </c>
      <c r="T463" s="543"/>
      <c r="U463" s="550"/>
    </row>
    <row r="464" spans="1:21">
      <c r="A464" s="479"/>
      <c r="B464" s="4" t="s">
        <v>99</v>
      </c>
      <c r="C464" s="506">
        <v>0</v>
      </c>
      <c r="D464" s="508">
        <v>0</v>
      </c>
      <c r="E464" s="508">
        <v>0</v>
      </c>
      <c r="F464" s="508">
        <v>0</v>
      </c>
      <c r="G464" s="508">
        <v>0</v>
      </c>
      <c r="H464" s="508">
        <v>0</v>
      </c>
      <c r="I464" s="508">
        <v>0</v>
      </c>
      <c r="J464" s="509">
        <v>0</v>
      </c>
      <c r="K464" s="506">
        <v>0</v>
      </c>
      <c r="L464" s="507">
        <v>0</v>
      </c>
      <c r="M464" s="507">
        <v>0</v>
      </c>
      <c r="N464" s="507">
        <v>0</v>
      </c>
      <c r="O464" s="506">
        <v>0</v>
      </c>
      <c r="P464" s="506">
        <v>0</v>
      </c>
      <c r="Q464" s="507">
        <v>0</v>
      </c>
      <c r="R464" s="507">
        <v>0</v>
      </c>
      <c r="S464" s="515">
        <v>0</v>
      </c>
      <c r="T464" s="510"/>
      <c r="U464" s="528"/>
    </row>
    <row r="465" spans="1:21">
      <c r="A465" s="479"/>
      <c r="B465" s="4" t="s">
        <v>75</v>
      </c>
      <c r="C465" s="506">
        <v>0</v>
      </c>
      <c r="D465" s="508">
        <v>0</v>
      </c>
      <c r="E465" s="508">
        <v>0</v>
      </c>
      <c r="F465" s="508">
        <v>0</v>
      </c>
      <c r="G465" s="508">
        <v>0</v>
      </c>
      <c r="H465" s="508">
        <v>0</v>
      </c>
      <c r="I465" s="508">
        <v>0</v>
      </c>
      <c r="J465" s="509">
        <v>0</v>
      </c>
      <c r="K465" s="506">
        <v>0</v>
      </c>
      <c r="L465" s="507">
        <v>0</v>
      </c>
      <c r="M465" s="507">
        <v>0</v>
      </c>
      <c r="N465" s="507">
        <v>0</v>
      </c>
      <c r="O465" s="506">
        <v>0</v>
      </c>
      <c r="P465" s="506">
        <v>0</v>
      </c>
      <c r="Q465" s="507">
        <v>0</v>
      </c>
      <c r="R465" s="507">
        <v>0</v>
      </c>
      <c r="S465" s="515">
        <v>0</v>
      </c>
      <c r="T465" s="536"/>
      <c r="U465" s="542"/>
    </row>
    <row r="466" spans="1:21">
      <c r="A466" s="479"/>
      <c r="B466" s="4" t="s">
        <v>77</v>
      </c>
      <c r="C466" s="506">
        <v>6.1296043544709338E-4</v>
      </c>
      <c r="D466" s="508">
        <v>6.6638791616578685E-4</v>
      </c>
      <c r="E466" s="508">
        <v>5.8875543438213843E-3</v>
      </c>
      <c r="F466" s="508">
        <v>2.2879188910322553E-3</v>
      </c>
      <c r="G466" s="508">
        <v>8.909786420146637E-2</v>
      </c>
      <c r="H466" s="508">
        <v>0</v>
      </c>
      <c r="I466" s="508">
        <v>0</v>
      </c>
      <c r="J466" s="509">
        <v>4.1146177893658141E-3</v>
      </c>
      <c r="K466" s="506">
        <v>0</v>
      </c>
      <c r="L466" s="507">
        <v>0</v>
      </c>
      <c r="M466" s="507">
        <v>0</v>
      </c>
      <c r="N466" s="507">
        <v>0</v>
      </c>
      <c r="O466" s="506">
        <v>0</v>
      </c>
      <c r="P466" s="506">
        <v>0</v>
      </c>
      <c r="Q466" s="507">
        <v>0</v>
      </c>
      <c r="R466" s="507">
        <v>0</v>
      </c>
      <c r="S466" s="515">
        <v>0</v>
      </c>
      <c r="T466" s="543"/>
      <c r="U466" s="550"/>
    </row>
    <row r="467" spans="1:21">
      <c r="A467" s="479"/>
      <c r="B467" s="4" t="s">
        <v>101</v>
      </c>
      <c r="C467" s="506">
        <v>0</v>
      </c>
      <c r="D467" s="508">
        <v>0</v>
      </c>
      <c r="E467" s="508">
        <v>0</v>
      </c>
      <c r="F467" s="508">
        <v>0</v>
      </c>
      <c r="G467" s="508">
        <v>0</v>
      </c>
      <c r="H467" s="508">
        <v>0</v>
      </c>
      <c r="I467" s="508">
        <v>0</v>
      </c>
      <c r="J467" s="509">
        <v>0</v>
      </c>
      <c r="K467" s="506">
        <v>0</v>
      </c>
      <c r="L467" s="507">
        <v>0</v>
      </c>
      <c r="M467" s="507">
        <v>0</v>
      </c>
      <c r="N467" s="507">
        <v>0</v>
      </c>
      <c r="O467" s="506">
        <v>0</v>
      </c>
      <c r="P467" s="506">
        <v>0</v>
      </c>
      <c r="Q467" s="507">
        <v>0</v>
      </c>
      <c r="R467" s="507">
        <v>0</v>
      </c>
      <c r="S467" s="515">
        <v>0</v>
      </c>
      <c r="T467" s="510"/>
      <c r="U467" s="528"/>
    </row>
    <row r="468" spans="1:21">
      <c r="A468" s="479"/>
      <c r="B468" s="4" t="s">
        <v>79</v>
      </c>
      <c r="C468" s="506">
        <v>0</v>
      </c>
      <c r="D468" s="508">
        <v>0</v>
      </c>
      <c r="E468" s="508">
        <v>0</v>
      </c>
      <c r="F468" s="508">
        <v>0</v>
      </c>
      <c r="G468" s="508">
        <v>0</v>
      </c>
      <c r="H468" s="508">
        <v>0</v>
      </c>
      <c r="I468" s="508">
        <v>0</v>
      </c>
      <c r="J468" s="509">
        <v>0</v>
      </c>
      <c r="K468" s="506">
        <v>0</v>
      </c>
      <c r="L468" s="507">
        <v>0</v>
      </c>
      <c r="M468" s="507">
        <v>0</v>
      </c>
      <c r="N468" s="507">
        <v>0</v>
      </c>
      <c r="O468" s="506">
        <v>0</v>
      </c>
      <c r="P468" s="506">
        <v>0</v>
      </c>
      <c r="Q468" s="507">
        <v>0</v>
      </c>
      <c r="R468" s="507">
        <v>0</v>
      </c>
      <c r="S468" s="515">
        <v>0</v>
      </c>
      <c r="T468" s="536"/>
      <c r="U468" s="542"/>
    </row>
    <row r="469" spans="1:21">
      <c r="A469" s="479"/>
      <c r="B469" s="4" t="s">
        <v>81</v>
      </c>
      <c r="C469" s="506">
        <v>9.6888612829670553E-2</v>
      </c>
      <c r="D469" s="508">
        <v>2.1716406209167406E-2</v>
      </c>
      <c r="E469" s="508">
        <v>1.7876353990126003E-2</v>
      </c>
      <c r="F469" s="508">
        <v>3.6382396482885472E-2</v>
      </c>
      <c r="G469" s="508">
        <v>0</v>
      </c>
      <c r="H469" s="508">
        <v>0</v>
      </c>
      <c r="I469" s="508">
        <v>0</v>
      </c>
      <c r="J469" s="509">
        <v>4.5569521734054562E-2</v>
      </c>
      <c r="K469" s="506">
        <v>0</v>
      </c>
      <c r="L469" s="507">
        <v>0</v>
      </c>
      <c r="M469" s="507">
        <v>0</v>
      </c>
      <c r="N469" s="507">
        <v>0</v>
      </c>
      <c r="O469" s="506">
        <v>0</v>
      </c>
      <c r="P469" s="506">
        <v>0</v>
      </c>
      <c r="Q469" s="507">
        <v>0</v>
      </c>
      <c r="R469" s="507">
        <v>0</v>
      </c>
      <c r="S469" s="515">
        <v>0</v>
      </c>
      <c r="T469" s="543"/>
      <c r="U469" s="550"/>
    </row>
    <row r="470" spans="1:21">
      <c r="A470" s="479"/>
      <c r="B470" s="4" t="s">
        <v>107</v>
      </c>
      <c r="C470" s="506">
        <v>0</v>
      </c>
      <c r="D470" s="508">
        <v>0</v>
      </c>
      <c r="E470" s="508">
        <v>0</v>
      </c>
      <c r="F470" s="508">
        <v>0</v>
      </c>
      <c r="G470" s="508">
        <v>0</v>
      </c>
      <c r="H470" s="508">
        <v>0</v>
      </c>
      <c r="I470" s="508">
        <v>0</v>
      </c>
      <c r="J470" s="509">
        <v>0</v>
      </c>
      <c r="K470" s="506">
        <v>0</v>
      </c>
      <c r="L470" s="507">
        <v>0</v>
      </c>
      <c r="M470" s="507">
        <v>0</v>
      </c>
      <c r="N470" s="507">
        <v>0</v>
      </c>
      <c r="O470" s="506">
        <v>0</v>
      </c>
      <c r="P470" s="506">
        <v>0</v>
      </c>
      <c r="Q470" s="507">
        <v>0</v>
      </c>
      <c r="R470" s="507">
        <v>0</v>
      </c>
      <c r="S470" s="515">
        <v>0</v>
      </c>
      <c r="T470" s="551"/>
      <c r="U470" s="554"/>
    </row>
    <row r="471" spans="1:21">
      <c r="A471" s="479"/>
      <c r="B471" s="4" t="s">
        <v>83</v>
      </c>
      <c r="C471" s="506">
        <v>0</v>
      </c>
      <c r="D471" s="508">
        <v>0</v>
      </c>
      <c r="E471" s="508">
        <v>0</v>
      </c>
      <c r="F471" s="508">
        <v>0</v>
      </c>
      <c r="G471" s="508">
        <v>0</v>
      </c>
      <c r="H471" s="508">
        <v>0</v>
      </c>
      <c r="I471" s="508">
        <v>0</v>
      </c>
      <c r="J471" s="509">
        <v>0</v>
      </c>
      <c r="K471" s="506">
        <v>0</v>
      </c>
      <c r="L471" s="507">
        <v>0</v>
      </c>
      <c r="M471" s="507">
        <v>0</v>
      </c>
      <c r="N471" s="507">
        <v>0</v>
      </c>
      <c r="O471" s="506">
        <v>0</v>
      </c>
      <c r="P471" s="506">
        <v>0</v>
      </c>
      <c r="Q471" s="507">
        <v>0</v>
      </c>
      <c r="R471" s="507">
        <v>0</v>
      </c>
      <c r="S471" s="515">
        <v>0</v>
      </c>
      <c r="T471" s="506"/>
      <c r="U471" s="527"/>
    </row>
    <row r="472" spans="1:21">
      <c r="A472" s="479"/>
      <c r="B472" s="4" t="s">
        <v>85</v>
      </c>
      <c r="C472" s="506">
        <v>1.3525993608865861E-2</v>
      </c>
      <c r="D472" s="508">
        <v>9.7593163643965919E-2</v>
      </c>
      <c r="E472" s="508">
        <v>6.9611671947535189E-2</v>
      </c>
      <c r="F472" s="508">
        <v>4.0599345027141E-2</v>
      </c>
      <c r="G472" s="508">
        <v>0</v>
      </c>
      <c r="H472" s="508">
        <v>0</v>
      </c>
      <c r="I472" s="508">
        <v>0</v>
      </c>
      <c r="J472" s="509">
        <v>5.2875173496257671E-2</v>
      </c>
      <c r="K472" s="506">
        <v>0</v>
      </c>
      <c r="L472" s="507">
        <v>0</v>
      </c>
      <c r="M472" s="507">
        <v>0</v>
      </c>
      <c r="N472" s="507">
        <v>0</v>
      </c>
      <c r="O472" s="506">
        <v>0</v>
      </c>
      <c r="P472" s="506">
        <v>0</v>
      </c>
      <c r="Q472" s="507">
        <v>0</v>
      </c>
      <c r="R472" s="507">
        <v>0</v>
      </c>
      <c r="S472" s="515">
        <v>0</v>
      </c>
      <c r="T472" s="506"/>
      <c r="U472" s="527"/>
    </row>
    <row r="473" spans="1:21">
      <c r="A473" s="502"/>
      <c r="B473" s="4" t="s">
        <v>109</v>
      </c>
      <c r="C473" s="506">
        <v>0</v>
      </c>
      <c r="D473" s="508">
        <v>0</v>
      </c>
      <c r="E473" s="508">
        <v>0</v>
      </c>
      <c r="F473" s="508">
        <v>0</v>
      </c>
      <c r="G473" s="508">
        <v>0</v>
      </c>
      <c r="H473" s="508">
        <v>0</v>
      </c>
      <c r="I473" s="508">
        <v>0</v>
      </c>
      <c r="J473" s="509">
        <v>0</v>
      </c>
      <c r="K473" s="506">
        <v>0</v>
      </c>
      <c r="L473" s="507">
        <v>0</v>
      </c>
      <c r="M473" s="507">
        <v>0</v>
      </c>
      <c r="N473" s="507">
        <v>0</v>
      </c>
      <c r="O473" s="506">
        <v>0</v>
      </c>
      <c r="P473" s="506">
        <v>0</v>
      </c>
      <c r="Q473" s="507">
        <v>0</v>
      </c>
      <c r="R473" s="507">
        <v>0</v>
      </c>
      <c r="S473" s="515">
        <v>0</v>
      </c>
      <c r="T473" s="510"/>
      <c r="U473" s="528"/>
    </row>
    <row r="474" spans="1:21">
      <c r="A474" s="478" t="s">
        <v>133</v>
      </c>
      <c r="B474" s="3" t="s">
        <v>39</v>
      </c>
      <c r="C474" s="463">
        <v>0.94749531699934975</v>
      </c>
      <c r="D474" s="464">
        <v>0.93003248148211803</v>
      </c>
      <c r="E474" s="464">
        <v>0.92925686105655403</v>
      </c>
      <c r="F474" s="466">
        <v>0.86633039563570557</v>
      </c>
      <c r="G474" s="637">
        <v>0.79836499289275198</v>
      </c>
      <c r="H474" s="464">
        <v>1</v>
      </c>
      <c r="I474" s="464">
        <v>0</v>
      </c>
      <c r="J474" s="466">
        <v>0.93273798776758465</v>
      </c>
      <c r="K474" s="463">
        <v>0</v>
      </c>
      <c r="L474" s="464">
        <v>0.7887648193833281</v>
      </c>
      <c r="M474" s="464">
        <v>0.68046401509541277</v>
      </c>
      <c r="N474" s="637">
        <v>0.57014019562969365</v>
      </c>
      <c r="O474" s="463">
        <v>0.75326066544036596</v>
      </c>
      <c r="P474" s="463">
        <v>0</v>
      </c>
      <c r="Q474" s="464">
        <v>0</v>
      </c>
      <c r="R474" s="464">
        <v>0</v>
      </c>
      <c r="S474" s="516">
        <v>0</v>
      </c>
      <c r="T474" s="536"/>
      <c r="U474" s="542"/>
    </row>
    <row r="475" spans="1:21">
      <c r="A475" s="479"/>
      <c r="B475" s="4" t="s">
        <v>41</v>
      </c>
      <c r="C475" s="506">
        <v>0.9404360900865173</v>
      </c>
      <c r="D475" s="508">
        <v>0.91243702496192991</v>
      </c>
      <c r="E475" s="508">
        <v>0.92259344588172854</v>
      </c>
      <c r="F475" s="509">
        <v>0.87759134378320569</v>
      </c>
      <c r="G475" s="632">
        <v>0.76016245540487959</v>
      </c>
      <c r="H475" s="508">
        <v>1</v>
      </c>
      <c r="I475" s="508">
        <v>0</v>
      </c>
      <c r="J475" s="509">
        <v>0.92467408431836473</v>
      </c>
      <c r="K475" s="506">
        <v>0</v>
      </c>
      <c r="L475" s="507">
        <v>0.76824349535678993</v>
      </c>
      <c r="M475" s="507">
        <v>0.65918678012367693</v>
      </c>
      <c r="N475" s="632">
        <v>0.53730900835274953</v>
      </c>
      <c r="O475" s="506">
        <v>0.73208783694049551</v>
      </c>
      <c r="P475" s="506">
        <v>0</v>
      </c>
      <c r="Q475" s="507">
        <v>0</v>
      </c>
      <c r="R475" s="507">
        <v>0</v>
      </c>
      <c r="S475" s="515">
        <v>0</v>
      </c>
      <c r="T475" s="543"/>
      <c r="U475" s="550"/>
    </row>
    <row r="476" spans="1:21">
      <c r="A476" s="479"/>
      <c r="B476" s="505" t="s">
        <v>87</v>
      </c>
      <c r="C476" s="510">
        <v>-0.70592269128324503</v>
      </c>
      <c r="D476" s="512">
        <v>-1.7595456520188124</v>
      </c>
      <c r="E476" s="512">
        <v>-0.66634151748254933</v>
      </c>
      <c r="F476" s="531">
        <v>1.1260948147500116</v>
      </c>
      <c r="G476" s="529">
        <v>-3.820253748787239</v>
      </c>
      <c r="H476" s="512">
        <v>0</v>
      </c>
      <c r="I476" s="512">
        <v>0</v>
      </c>
      <c r="J476" s="514">
        <v>-0.80639034492199224</v>
      </c>
      <c r="K476" s="510">
        <v>0</v>
      </c>
      <c r="L476" s="511">
        <v>-2.0521324026538168</v>
      </c>
      <c r="M476" s="511">
        <v>-2.1277234971735837</v>
      </c>
      <c r="N476" s="529">
        <v>-3.2831187276944118</v>
      </c>
      <c r="O476" s="510">
        <v>-2.1172828499870455</v>
      </c>
      <c r="P476" s="510">
        <v>0</v>
      </c>
      <c r="Q476" s="511">
        <v>0</v>
      </c>
      <c r="R476" s="511">
        <v>0</v>
      </c>
      <c r="S476" s="517">
        <v>0</v>
      </c>
      <c r="T476" s="510"/>
      <c r="U476" s="528"/>
    </row>
    <row r="477" spans="1:21">
      <c r="A477" s="479"/>
      <c r="B477" s="4" t="s">
        <v>43</v>
      </c>
      <c r="C477" s="506">
        <v>8.9107921494571384E-3</v>
      </c>
      <c r="D477" s="508">
        <v>1.115197552717961E-2</v>
      </c>
      <c r="E477" s="508">
        <v>3.0158495480616717E-2</v>
      </c>
      <c r="F477" s="508">
        <v>2.3492856421742203E-2</v>
      </c>
      <c r="G477" s="508">
        <v>5.4861833738004392E-2</v>
      </c>
      <c r="H477" s="508">
        <v>0</v>
      </c>
      <c r="I477" s="508">
        <v>0</v>
      </c>
      <c r="J477" s="509">
        <v>1.9559470524333926E-2</v>
      </c>
      <c r="K477" s="506">
        <v>0</v>
      </c>
      <c r="L477" s="507">
        <v>8.1243789006008954E-2</v>
      </c>
      <c r="M477" s="507">
        <v>0.18567083646833696</v>
      </c>
      <c r="N477" s="632">
        <v>0.27618708572784756</v>
      </c>
      <c r="O477" s="506">
        <v>0.11474622448464387</v>
      </c>
      <c r="P477" s="506">
        <v>0</v>
      </c>
      <c r="Q477" s="507">
        <v>0</v>
      </c>
      <c r="R477" s="507">
        <v>0</v>
      </c>
      <c r="S477" s="515">
        <v>0</v>
      </c>
      <c r="T477" s="536"/>
      <c r="U477" s="542"/>
    </row>
    <row r="478" spans="1:21">
      <c r="A478" s="479"/>
      <c r="B478" s="4" t="s">
        <v>45</v>
      </c>
      <c r="C478" s="506">
        <v>9.9748184327839145E-3</v>
      </c>
      <c r="D478" s="508">
        <v>1.0728397297859352E-2</v>
      </c>
      <c r="E478" s="508">
        <v>3.3986742803033758E-2</v>
      </c>
      <c r="F478" s="508">
        <v>1.5897047691143074E-2</v>
      </c>
      <c r="G478" s="508">
        <v>6.2657166121115604E-2</v>
      </c>
      <c r="H478" s="508">
        <v>0</v>
      </c>
      <c r="I478" s="508">
        <v>0</v>
      </c>
      <c r="J478" s="509">
        <v>2.1585270066450467E-2</v>
      </c>
      <c r="K478" s="506">
        <v>0</v>
      </c>
      <c r="L478" s="507">
        <v>8.3340790091390254E-2</v>
      </c>
      <c r="M478" s="507">
        <v>0.18610431867658134</v>
      </c>
      <c r="N478" s="632">
        <v>0.25630703991641829</v>
      </c>
      <c r="O478" s="506">
        <v>0.11534588948329182</v>
      </c>
      <c r="P478" s="506">
        <v>0</v>
      </c>
      <c r="Q478" s="507">
        <v>0</v>
      </c>
      <c r="R478" s="507">
        <v>0</v>
      </c>
      <c r="S478" s="515">
        <v>0</v>
      </c>
      <c r="T478" s="543"/>
      <c r="U478" s="550"/>
    </row>
    <row r="479" spans="1:21">
      <c r="A479" s="479"/>
      <c r="B479" s="4" t="s">
        <v>95</v>
      </c>
      <c r="C479" s="506">
        <v>0.10640262833267761</v>
      </c>
      <c r="D479" s="508">
        <v>-4.2357822932025807E-2</v>
      </c>
      <c r="E479" s="508">
        <v>0.3828247322417041</v>
      </c>
      <c r="F479" s="508">
        <v>-0.75958087305991284</v>
      </c>
      <c r="G479" s="508">
        <v>0.77953323831112109</v>
      </c>
      <c r="H479" s="508">
        <v>0</v>
      </c>
      <c r="I479" s="508">
        <v>0</v>
      </c>
      <c r="J479" s="509">
        <v>0.20257995421165409</v>
      </c>
      <c r="K479" s="506">
        <v>0</v>
      </c>
      <c r="L479" s="507">
        <v>0.20970010853813004</v>
      </c>
      <c r="M479" s="507">
        <v>4.33482208244379E-2</v>
      </c>
      <c r="N479" s="633">
        <v>-1.988004581142927</v>
      </c>
      <c r="O479" s="506">
        <v>5.9966499864794187E-2</v>
      </c>
      <c r="P479" s="506">
        <v>0</v>
      </c>
      <c r="Q479" s="507">
        <v>0</v>
      </c>
      <c r="R479" s="507">
        <v>0</v>
      </c>
      <c r="S479" s="515">
        <v>0</v>
      </c>
      <c r="T479" s="510"/>
      <c r="U479" s="528"/>
    </row>
    <row r="480" spans="1:21">
      <c r="A480" s="479"/>
      <c r="B480" s="4" t="s">
        <v>49</v>
      </c>
      <c r="C480" s="506">
        <v>3.5735795941128232E-2</v>
      </c>
      <c r="D480" s="508">
        <v>5.8815542990702394E-2</v>
      </c>
      <c r="E480" s="508">
        <v>3.4563548258334159E-2</v>
      </c>
      <c r="F480" s="508">
        <v>0.10872971062992862</v>
      </c>
      <c r="G480" s="631">
        <v>0.12551944121387715</v>
      </c>
      <c r="H480" s="508">
        <v>0</v>
      </c>
      <c r="I480" s="508">
        <v>0</v>
      </c>
      <c r="J480" s="509">
        <v>4.0873875907758109E-2</v>
      </c>
      <c r="K480" s="506">
        <v>0</v>
      </c>
      <c r="L480" s="507">
        <v>0.12093771992235533</v>
      </c>
      <c r="M480" s="507">
        <v>0.11418905108624172</v>
      </c>
      <c r="N480" s="632">
        <v>0.12061570801335843</v>
      </c>
      <c r="O480" s="506">
        <v>0.11933898641350656</v>
      </c>
      <c r="P480" s="506">
        <v>0</v>
      </c>
      <c r="Q480" s="507">
        <v>0</v>
      </c>
      <c r="R480" s="507">
        <v>0</v>
      </c>
      <c r="S480" s="515">
        <v>0</v>
      </c>
      <c r="T480" s="536"/>
      <c r="U480" s="542"/>
    </row>
    <row r="481" spans="1:21">
      <c r="A481" s="479"/>
      <c r="B481" s="4" t="s">
        <v>51</v>
      </c>
      <c r="C481" s="506">
        <v>3.3767341223078277E-2</v>
      </c>
      <c r="D481" s="508">
        <v>7.6834577740210783E-2</v>
      </c>
      <c r="E481" s="508">
        <v>3.8776728021612361E-2</v>
      </c>
      <c r="F481" s="508">
        <v>0.10409128475091847</v>
      </c>
      <c r="G481" s="632">
        <v>0.14977420399140634</v>
      </c>
      <c r="H481" s="508">
        <v>0</v>
      </c>
      <c r="I481" s="508">
        <v>0</v>
      </c>
      <c r="J481" s="509">
        <v>4.3532042231463501E-2</v>
      </c>
      <c r="K481" s="506">
        <v>0</v>
      </c>
      <c r="L481" s="507">
        <v>0.14066590880471941</v>
      </c>
      <c r="M481" s="507">
        <v>0.1345467294651338</v>
      </c>
      <c r="N481" s="632">
        <v>0.17624645039775427</v>
      </c>
      <c r="O481" s="506">
        <v>0.14088154372661518</v>
      </c>
      <c r="P481" s="506">
        <v>0</v>
      </c>
      <c r="Q481" s="507">
        <v>0</v>
      </c>
      <c r="R481" s="507">
        <v>0</v>
      </c>
      <c r="S481" s="515">
        <v>0</v>
      </c>
      <c r="T481" s="543"/>
      <c r="U481" s="550"/>
    </row>
    <row r="482" spans="1:21">
      <c r="A482" s="479"/>
      <c r="B482" s="4" t="s">
        <v>97</v>
      </c>
      <c r="C482" s="506">
        <v>-0.19684547180499543</v>
      </c>
      <c r="D482" s="508">
        <v>1.8019034749508389</v>
      </c>
      <c r="E482" s="508">
        <v>0.4213179763278202</v>
      </c>
      <c r="F482" s="508">
        <v>-0.4638425879010144</v>
      </c>
      <c r="G482" s="633">
        <v>2.4254762777529191</v>
      </c>
      <c r="H482" s="508">
        <v>0</v>
      </c>
      <c r="I482" s="508">
        <v>0</v>
      </c>
      <c r="J482" s="509">
        <v>0.26581663237053921</v>
      </c>
      <c r="K482" s="506">
        <v>0</v>
      </c>
      <c r="L482" s="507">
        <v>1.9728188882364077</v>
      </c>
      <c r="M482" s="507">
        <v>2.0357678378892077</v>
      </c>
      <c r="N482" s="633">
        <v>5.5630742384395848</v>
      </c>
      <c r="O482" s="506">
        <v>2.1542557313108626</v>
      </c>
      <c r="P482" s="506">
        <v>0</v>
      </c>
      <c r="Q482" s="507">
        <v>0</v>
      </c>
      <c r="R482" s="507">
        <v>0</v>
      </c>
      <c r="S482" s="515">
        <v>0</v>
      </c>
      <c r="T482" s="510"/>
      <c r="U482" s="528"/>
    </row>
    <row r="483" spans="1:21">
      <c r="A483" s="479"/>
      <c r="B483" s="4" t="s">
        <v>53</v>
      </c>
      <c r="C483" s="506">
        <v>2.8247167303549193E-4</v>
      </c>
      <c r="D483" s="508">
        <v>0</v>
      </c>
      <c r="E483" s="508">
        <v>5.383927443221883E-3</v>
      </c>
      <c r="F483" s="508">
        <v>1.4470373126236244E-3</v>
      </c>
      <c r="G483" s="508">
        <v>1.8254405473601163E-2</v>
      </c>
      <c r="H483" s="508">
        <v>0</v>
      </c>
      <c r="I483" s="508">
        <v>0</v>
      </c>
      <c r="J483" s="509">
        <v>2.9386949836301243E-3</v>
      </c>
      <c r="K483" s="506">
        <v>0</v>
      </c>
      <c r="L483" s="507">
        <v>6.9480963907599743E-4</v>
      </c>
      <c r="M483" s="507">
        <v>1.6426555011167524E-2</v>
      </c>
      <c r="N483" s="507">
        <v>2.4160813409656413E-2</v>
      </c>
      <c r="O483" s="506">
        <v>5.4696014342973907E-3</v>
      </c>
      <c r="P483" s="506">
        <v>0</v>
      </c>
      <c r="Q483" s="507">
        <v>0</v>
      </c>
      <c r="R483" s="507">
        <v>0</v>
      </c>
      <c r="S483" s="515">
        <v>0</v>
      </c>
      <c r="T483" s="536"/>
      <c r="U483" s="542"/>
    </row>
    <row r="484" spans="1:21">
      <c r="A484" s="479"/>
      <c r="B484" s="4" t="s">
        <v>55</v>
      </c>
      <c r="C484" s="506">
        <v>2.0342514519726588E-4</v>
      </c>
      <c r="D484" s="508">
        <v>0</v>
      </c>
      <c r="E484" s="508">
        <v>4.4505669174525805E-3</v>
      </c>
      <c r="F484" s="508">
        <v>2.4203237747327921E-3</v>
      </c>
      <c r="G484" s="508">
        <v>2.1268316290993992E-2</v>
      </c>
      <c r="H484" s="508">
        <v>0</v>
      </c>
      <c r="I484" s="508">
        <v>0</v>
      </c>
      <c r="J484" s="509">
        <v>2.6230345552059292E-3</v>
      </c>
      <c r="K484" s="506">
        <v>0</v>
      </c>
      <c r="L484" s="507">
        <v>9.248701160410824E-4</v>
      </c>
      <c r="M484" s="507">
        <v>1.7299391632396424E-2</v>
      </c>
      <c r="N484" s="507">
        <v>1.8292539644380015E-2</v>
      </c>
      <c r="O484" s="506">
        <v>5.5533077509864175E-3</v>
      </c>
      <c r="P484" s="506">
        <v>0</v>
      </c>
      <c r="Q484" s="507">
        <v>0</v>
      </c>
      <c r="R484" s="507">
        <v>0</v>
      </c>
      <c r="S484" s="515">
        <v>0</v>
      </c>
      <c r="T484" s="543"/>
      <c r="U484" s="550"/>
    </row>
    <row r="485" spans="1:21">
      <c r="A485" s="479"/>
      <c r="B485" s="4" t="s">
        <v>103</v>
      </c>
      <c r="C485" s="506">
        <v>-7.9046527838226056E-3</v>
      </c>
      <c r="D485" s="508">
        <v>0</v>
      </c>
      <c r="E485" s="508">
        <v>-9.3336052576930256E-2</v>
      </c>
      <c r="F485" s="508">
        <v>9.7328646210916761E-2</v>
      </c>
      <c r="G485" s="508">
        <v>0.30139108173928286</v>
      </c>
      <c r="H485" s="508">
        <v>0</v>
      </c>
      <c r="I485" s="508">
        <v>0</v>
      </c>
      <c r="J485" s="509">
        <v>-3.1566042842419512E-2</v>
      </c>
      <c r="K485" s="506">
        <v>0</v>
      </c>
      <c r="L485" s="507">
        <v>2.3006047696508498E-2</v>
      </c>
      <c r="M485" s="507">
        <v>8.7283662122890002E-2</v>
      </c>
      <c r="N485" s="507">
        <v>-0.58682737652763983</v>
      </c>
      <c r="O485" s="506">
        <v>8.3706316689026797E-3</v>
      </c>
      <c r="P485" s="506">
        <v>0</v>
      </c>
      <c r="Q485" s="507">
        <v>0</v>
      </c>
      <c r="R485" s="507">
        <v>0</v>
      </c>
      <c r="S485" s="515">
        <v>0</v>
      </c>
      <c r="T485" s="510"/>
      <c r="U485" s="528"/>
    </row>
    <row r="486" spans="1:21">
      <c r="A486" s="479"/>
      <c r="B486" s="4" t="s">
        <v>57</v>
      </c>
      <c r="C486" s="506">
        <v>7.5756232370294075E-3</v>
      </c>
      <c r="D486" s="508">
        <v>0</v>
      </c>
      <c r="E486" s="508">
        <v>6.3716776127323304E-4</v>
      </c>
      <c r="F486" s="508">
        <v>0</v>
      </c>
      <c r="G486" s="508">
        <v>2.9993266817653179E-3</v>
      </c>
      <c r="H486" s="508">
        <v>0</v>
      </c>
      <c r="I486" s="508">
        <v>0</v>
      </c>
      <c r="J486" s="509">
        <v>3.8899708166931514E-3</v>
      </c>
      <c r="K486" s="506">
        <v>0</v>
      </c>
      <c r="L486" s="507">
        <v>8.3588620492316742E-3</v>
      </c>
      <c r="M486" s="507">
        <v>3.2495423388410657E-3</v>
      </c>
      <c r="N486" s="507">
        <v>8.8961972194439264E-3</v>
      </c>
      <c r="O486" s="506">
        <v>7.1845222271862477E-3</v>
      </c>
      <c r="P486" s="506">
        <v>0</v>
      </c>
      <c r="Q486" s="507">
        <v>0</v>
      </c>
      <c r="R486" s="507">
        <v>0</v>
      </c>
      <c r="S486" s="515">
        <v>0</v>
      </c>
      <c r="T486" s="536"/>
      <c r="U486" s="542"/>
    </row>
    <row r="487" spans="1:21">
      <c r="A487" s="479"/>
      <c r="B487" s="4" t="s">
        <v>59</v>
      </c>
      <c r="C487" s="506">
        <v>1.5618325112423215E-2</v>
      </c>
      <c r="D487" s="508">
        <v>0</v>
      </c>
      <c r="E487" s="508">
        <v>1.9251637617278847E-4</v>
      </c>
      <c r="F487" s="508">
        <v>0</v>
      </c>
      <c r="G487" s="508">
        <v>6.1378581916045087E-3</v>
      </c>
      <c r="H487" s="508">
        <v>0</v>
      </c>
      <c r="I487" s="508">
        <v>0</v>
      </c>
      <c r="J487" s="509">
        <v>7.5855688285153934E-3</v>
      </c>
      <c r="K487" s="506">
        <v>0</v>
      </c>
      <c r="L487" s="507">
        <v>6.8249356310593409E-3</v>
      </c>
      <c r="M487" s="507">
        <v>2.8627801022114816E-3</v>
      </c>
      <c r="N487" s="507">
        <v>1.184496168869785E-2</v>
      </c>
      <c r="O487" s="506">
        <v>6.1314220986110795E-3</v>
      </c>
      <c r="P487" s="506">
        <v>0</v>
      </c>
      <c r="Q487" s="507">
        <v>0</v>
      </c>
      <c r="R487" s="507">
        <v>0</v>
      </c>
      <c r="S487" s="515">
        <v>0</v>
      </c>
      <c r="T487" s="543"/>
      <c r="U487" s="550"/>
    </row>
    <row r="488" spans="1:21">
      <c r="A488" s="479"/>
      <c r="B488" s="4" t="s">
        <v>105</v>
      </c>
      <c r="C488" s="506">
        <v>0.80427018753938084</v>
      </c>
      <c r="D488" s="508">
        <v>0</v>
      </c>
      <c r="E488" s="508">
        <v>-4.4465138510044459E-2</v>
      </c>
      <c r="F488" s="508">
        <v>0</v>
      </c>
      <c r="G488" s="508">
        <v>0.31385315098391908</v>
      </c>
      <c r="H488" s="508">
        <v>0</v>
      </c>
      <c r="I488" s="508">
        <v>0</v>
      </c>
      <c r="J488" s="509">
        <v>0.3695598011822242</v>
      </c>
      <c r="K488" s="506">
        <v>0</v>
      </c>
      <c r="L488" s="507">
        <v>-0.15339264181723333</v>
      </c>
      <c r="M488" s="507">
        <v>-3.8676223662958413E-2</v>
      </c>
      <c r="N488" s="507">
        <v>0.29487644692539233</v>
      </c>
      <c r="O488" s="506">
        <v>-0.10531001285751683</v>
      </c>
      <c r="P488" s="506">
        <v>0</v>
      </c>
      <c r="Q488" s="507">
        <v>0</v>
      </c>
      <c r="R488" s="507">
        <v>0</v>
      </c>
      <c r="S488" s="515">
        <v>0</v>
      </c>
      <c r="T488" s="510"/>
      <c r="U488" s="528"/>
    </row>
    <row r="489" spans="1:21">
      <c r="A489" s="479"/>
      <c r="B489" s="4" t="s">
        <v>61</v>
      </c>
      <c r="C489" s="506">
        <v>0</v>
      </c>
      <c r="D489" s="508">
        <v>0</v>
      </c>
      <c r="E489" s="508">
        <v>0</v>
      </c>
      <c r="F489" s="508">
        <v>0</v>
      </c>
      <c r="G489" s="508">
        <v>0</v>
      </c>
      <c r="H489" s="508">
        <v>0</v>
      </c>
      <c r="I489" s="508">
        <v>0</v>
      </c>
      <c r="J489" s="509">
        <v>0</v>
      </c>
      <c r="K489" s="506">
        <v>0</v>
      </c>
      <c r="L489" s="507">
        <v>0</v>
      </c>
      <c r="M489" s="507">
        <v>0</v>
      </c>
      <c r="N489" s="507">
        <v>0</v>
      </c>
      <c r="O489" s="506">
        <v>0</v>
      </c>
      <c r="P489" s="506">
        <v>0</v>
      </c>
      <c r="Q489" s="507">
        <v>0</v>
      </c>
      <c r="R489" s="507">
        <v>0</v>
      </c>
      <c r="S489" s="515">
        <v>0</v>
      </c>
      <c r="T489" s="536"/>
      <c r="U489" s="542"/>
    </row>
    <row r="490" spans="1:21">
      <c r="A490" s="479"/>
      <c r="B490" s="4" t="s">
        <v>63</v>
      </c>
      <c r="C490" s="506">
        <v>0</v>
      </c>
      <c r="D490" s="508">
        <v>0</v>
      </c>
      <c r="E490" s="508">
        <v>0</v>
      </c>
      <c r="F490" s="508">
        <v>0</v>
      </c>
      <c r="G490" s="508">
        <v>0</v>
      </c>
      <c r="H490" s="508">
        <v>0</v>
      </c>
      <c r="I490" s="508">
        <v>0</v>
      </c>
      <c r="J490" s="509">
        <v>0</v>
      </c>
      <c r="K490" s="506">
        <v>0</v>
      </c>
      <c r="L490" s="507">
        <v>0</v>
      </c>
      <c r="M490" s="507">
        <v>0</v>
      </c>
      <c r="N490" s="507">
        <v>0</v>
      </c>
      <c r="O490" s="506">
        <v>0</v>
      </c>
      <c r="P490" s="506">
        <v>0</v>
      </c>
      <c r="Q490" s="507">
        <v>0</v>
      </c>
      <c r="R490" s="507">
        <v>0</v>
      </c>
      <c r="S490" s="515">
        <v>0</v>
      </c>
      <c r="T490" s="543"/>
      <c r="U490" s="550"/>
    </row>
    <row r="491" spans="1:21">
      <c r="A491" s="479"/>
      <c r="B491" s="4" t="s">
        <v>91</v>
      </c>
      <c r="C491" s="506">
        <v>0</v>
      </c>
      <c r="D491" s="508">
        <v>0</v>
      </c>
      <c r="E491" s="508">
        <v>0</v>
      </c>
      <c r="F491" s="508">
        <v>0</v>
      </c>
      <c r="G491" s="508">
        <v>0</v>
      </c>
      <c r="H491" s="508">
        <v>0</v>
      </c>
      <c r="I491" s="508">
        <v>0</v>
      </c>
      <c r="J491" s="509">
        <v>0</v>
      </c>
      <c r="K491" s="506">
        <v>0</v>
      </c>
      <c r="L491" s="507">
        <v>0</v>
      </c>
      <c r="M491" s="507">
        <v>0</v>
      </c>
      <c r="N491" s="507">
        <v>0</v>
      </c>
      <c r="O491" s="506">
        <v>0</v>
      </c>
      <c r="P491" s="506">
        <v>0</v>
      </c>
      <c r="Q491" s="507">
        <v>0</v>
      </c>
      <c r="R491" s="507">
        <v>0</v>
      </c>
      <c r="S491" s="515">
        <v>0</v>
      </c>
      <c r="T491" s="510"/>
      <c r="U491" s="528"/>
    </row>
    <row r="492" spans="1:21">
      <c r="A492" s="479"/>
      <c r="B492" s="4" t="s">
        <v>47</v>
      </c>
      <c r="C492" s="506">
        <v>0.90783900277902507</v>
      </c>
      <c r="D492" s="508">
        <v>0.66210359212906555</v>
      </c>
      <c r="E492" s="508">
        <v>0.69779265405685043</v>
      </c>
      <c r="F492" s="508">
        <v>0.76749430363392923</v>
      </c>
      <c r="G492" s="508">
        <v>0.23433679400328697</v>
      </c>
      <c r="H492" s="631">
        <v>1</v>
      </c>
      <c r="I492" s="508">
        <v>0</v>
      </c>
      <c r="J492" s="509">
        <v>0.80599374750906716</v>
      </c>
      <c r="K492" s="506">
        <v>0</v>
      </c>
      <c r="L492" s="507">
        <v>0</v>
      </c>
      <c r="M492" s="507">
        <v>0</v>
      </c>
      <c r="N492" s="507">
        <v>0</v>
      </c>
      <c r="O492" s="506">
        <v>0</v>
      </c>
      <c r="P492" s="506">
        <v>0</v>
      </c>
      <c r="Q492" s="507">
        <v>0</v>
      </c>
      <c r="R492" s="507">
        <v>0</v>
      </c>
      <c r="S492" s="515">
        <v>0</v>
      </c>
      <c r="T492" s="536"/>
      <c r="U492" s="542"/>
    </row>
    <row r="493" spans="1:21">
      <c r="A493" s="479"/>
      <c r="B493" s="4" t="s">
        <v>65</v>
      </c>
      <c r="C493" s="506">
        <v>0.89602261439055408</v>
      </c>
      <c r="D493" s="508">
        <v>0.65624160976423895</v>
      </c>
      <c r="E493" s="508">
        <v>0.6317416190974473</v>
      </c>
      <c r="F493" s="508">
        <v>0.74882302234599829</v>
      </c>
      <c r="G493" s="508">
        <v>0.19453639372885673</v>
      </c>
      <c r="H493" s="632">
        <v>1</v>
      </c>
      <c r="I493" s="508">
        <v>0</v>
      </c>
      <c r="J493" s="509">
        <v>0.77226225733666154</v>
      </c>
      <c r="K493" s="506">
        <v>0</v>
      </c>
      <c r="L493" s="507">
        <v>0</v>
      </c>
      <c r="M493" s="507">
        <v>0</v>
      </c>
      <c r="N493" s="507">
        <v>0</v>
      </c>
      <c r="O493" s="506">
        <v>0</v>
      </c>
      <c r="P493" s="506">
        <v>0</v>
      </c>
      <c r="Q493" s="507">
        <v>0</v>
      </c>
      <c r="R493" s="507">
        <v>0</v>
      </c>
      <c r="S493" s="515">
        <v>0</v>
      </c>
      <c r="T493" s="543"/>
      <c r="U493" s="550"/>
    </row>
    <row r="494" spans="1:21">
      <c r="A494" s="479"/>
      <c r="B494" s="4" t="s">
        <v>89</v>
      </c>
      <c r="C494" s="506">
        <v>-1.1816388388470989</v>
      </c>
      <c r="D494" s="508">
        <v>-0.58619823648266012</v>
      </c>
      <c r="E494" s="508">
        <v>-6.6051034959403125</v>
      </c>
      <c r="F494" s="508">
        <v>-1.8671281287930941</v>
      </c>
      <c r="G494" s="508">
        <v>-3.9800400274430241</v>
      </c>
      <c r="H494" s="633">
        <v>0</v>
      </c>
      <c r="I494" s="508">
        <v>0</v>
      </c>
      <c r="J494" s="509">
        <v>-3.373149017240562</v>
      </c>
      <c r="K494" s="506">
        <v>0</v>
      </c>
      <c r="L494" s="507">
        <v>0</v>
      </c>
      <c r="M494" s="507">
        <v>0</v>
      </c>
      <c r="N494" s="507">
        <v>0</v>
      </c>
      <c r="O494" s="506">
        <v>0</v>
      </c>
      <c r="P494" s="506">
        <v>0</v>
      </c>
      <c r="Q494" s="507">
        <v>0</v>
      </c>
      <c r="R494" s="507">
        <v>0</v>
      </c>
      <c r="S494" s="515">
        <v>0</v>
      </c>
      <c r="T494" s="510"/>
      <c r="U494" s="528"/>
    </row>
    <row r="495" spans="1:21">
      <c r="A495" s="479"/>
      <c r="B495" s="4" t="s">
        <v>67</v>
      </c>
      <c r="C495" s="506">
        <v>2.1034095306282502E-2</v>
      </c>
      <c r="D495" s="508">
        <v>1.8134160298298077E-2</v>
      </c>
      <c r="E495" s="508">
        <v>0.14715011528354957</v>
      </c>
      <c r="F495" s="508">
        <v>1.4657865683211577E-2</v>
      </c>
      <c r="G495" s="508">
        <v>0.17436966368701648</v>
      </c>
      <c r="H495" s="632">
        <v>0</v>
      </c>
      <c r="I495" s="508">
        <v>0</v>
      </c>
      <c r="J495" s="509">
        <v>6.4807302289063951E-2</v>
      </c>
      <c r="K495" s="506">
        <v>0</v>
      </c>
      <c r="L495" s="507">
        <v>0</v>
      </c>
      <c r="M495" s="507">
        <v>0</v>
      </c>
      <c r="N495" s="507">
        <v>0</v>
      </c>
      <c r="O495" s="506">
        <v>0</v>
      </c>
      <c r="P495" s="506">
        <v>0</v>
      </c>
      <c r="Q495" s="507">
        <v>0</v>
      </c>
      <c r="R495" s="507">
        <v>0</v>
      </c>
      <c r="S495" s="515">
        <v>0</v>
      </c>
      <c r="T495" s="536"/>
      <c r="U495" s="542"/>
    </row>
    <row r="496" spans="1:21">
      <c r="A496" s="479"/>
      <c r="B496" s="4" t="s">
        <v>69</v>
      </c>
      <c r="C496" s="506">
        <v>2.3731798007424507E-2</v>
      </c>
      <c r="D496" s="508">
        <v>2.4831469642766439E-2</v>
      </c>
      <c r="E496" s="508">
        <v>0.11907323967858566</v>
      </c>
      <c r="F496" s="508">
        <v>2.1417677872820104E-2</v>
      </c>
      <c r="G496" s="508">
        <v>0.17427521734385798</v>
      </c>
      <c r="H496" s="632">
        <v>0</v>
      </c>
      <c r="I496" s="508">
        <v>0</v>
      </c>
      <c r="J496" s="509">
        <v>5.9111034193538234E-2</v>
      </c>
      <c r="K496" s="506">
        <v>0</v>
      </c>
      <c r="L496" s="507">
        <v>0</v>
      </c>
      <c r="M496" s="507">
        <v>0</v>
      </c>
      <c r="N496" s="507">
        <v>0</v>
      </c>
      <c r="O496" s="506">
        <v>0</v>
      </c>
      <c r="P496" s="506">
        <v>0</v>
      </c>
      <c r="Q496" s="507">
        <v>0</v>
      </c>
      <c r="R496" s="507">
        <v>0</v>
      </c>
      <c r="S496" s="515">
        <v>0</v>
      </c>
      <c r="T496" s="543"/>
      <c r="U496" s="550"/>
    </row>
    <row r="497" spans="1:21">
      <c r="A497" s="479"/>
      <c r="B497" s="4" t="s">
        <v>93</v>
      </c>
      <c r="C497" s="506">
        <v>0.26977027011420052</v>
      </c>
      <c r="D497" s="508">
        <v>0.66973093444683618</v>
      </c>
      <c r="E497" s="508">
        <v>-2.8076875604963911</v>
      </c>
      <c r="F497" s="508">
        <v>0.67598121896085273</v>
      </c>
      <c r="G497" s="508">
        <v>-9.4446343158499646E-3</v>
      </c>
      <c r="H497" s="633">
        <v>0</v>
      </c>
      <c r="I497" s="508">
        <v>0</v>
      </c>
      <c r="J497" s="509">
        <v>-0.56962680955257161</v>
      </c>
      <c r="K497" s="506">
        <v>0</v>
      </c>
      <c r="L497" s="507">
        <v>0</v>
      </c>
      <c r="M497" s="507">
        <v>0</v>
      </c>
      <c r="N497" s="507">
        <v>0</v>
      </c>
      <c r="O497" s="506">
        <v>0</v>
      </c>
      <c r="P497" s="506">
        <v>0</v>
      </c>
      <c r="Q497" s="507">
        <v>0</v>
      </c>
      <c r="R497" s="507">
        <v>0</v>
      </c>
      <c r="S497" s="515">
        <v>0</v>
      </c>
      <c r="T497" s="510"/>
      <c r="U497" s="528"/>
    </row>
    <row r="498" spans="1:21">
      <c r="A498" s="479"/>
      <c r="B498" s="4" t="s">
        <v>71</v>
      </c>
      <c r="C498" s="506">
        <v>6.5049465818819152E-2</v>
      </c>
      <c r="D498" s="634">
        <v>0.31237863181600029</v>
      </c>
      <c r="E498" s="508">
        <v>0.13866743864962366</v>
      </c>
      <c r="F498" s="508">
        <v>0.21270348359211669</v>
      </c>
      <c r="G498" s="508">
        <v>0.57614141980999722</v>
      </c>
      <c r="H498" s="508">
        <v>0</v>
      </c>
      <c r="I498" s="508">
        <v>0</v>
      </c>
      <c r="J498" s="509">
        <v>0.1194838131414063</v>
      </c>
      <c r="K498" s="506">
        <v>0</v>
      </c>
      <c r="L498" s="507">
        <v>0</v>
      </c>
      <c r="M498" s="507">
        <v>0</v>
      </c>
      <c r="N498" s="507">
        <v>0</v>
      </c>
      <c r="O498" s="506">
        <v>0</v>
      </c>
      <c r="P498" s="506">
        <v>0</v>
      </c>
      <c r="Q498" s="507">
        <v>0</v>
      </c>
      <c r="R498" s="507">
        <v>0</v>
      </c>
      <c r="S498" s="515">
        <v>0</v>
      </c>
      <c r="T498" s="536"/>
      <c r="U498" s="542"/>
    </row>
    <row r="499" spans="1:21">
      <c r="A499" s="479"/>
      <c r="B499" s="4" t="s">
        <v>73</v>
      </c>
      <c r="C499" s="506">
        <v>7.4576862606282296E-2</v>
      </c>
      <c r="D499" s="635">
        <v>0.31360796464672119</v>
      </c>
      <c r="E499" s="508">
        <v>0.15592187975854879</v>
      </c>
      <c r="F499" s="508">
        <v>0.22763742457396724</v>
      </c>
      <c r="G499" s="508">
        <v>0.58120839547488268</v>
      </c>
      <c r="H499" s="508">
        <v>0</v>
      </c>
      <c r="I499" s="508">
        <v>0</v>
      </c>
      <c r="J499" s="509">
        <v>0.1319847681504826</v>
      </c>
      <c r="K499" s="506">
        <v>0</v>
      </c>
      <c r="L499" s="507">
        <v>0</v>
      </c>
      <c r="M499" s="507">
        <v>0</v>
      </c>
      <c r="N499" s="507">
        <v>0</v>
      </c>
      <c r="O499" s="506">
        <v>0</v>
      </c>
      <c r="P499" s="506">
        <v>0</v>
      </c>
      <c r="Q499" s="507">
        <v>0</v>
      </c>
      <c r="R499" s="507">
        <v>0</v>
      </c>
      <c r="S499" s="515">
        <v>0</v>
      </c>
      <c r="T499" s="543"/>
      <c r="U499" s="550"/>
    </row>
    <row r="500" spans="1:21">
      <c r="A500" s="479"/>
      <c r="B500" s="4" t="s">
        <v>99</v>
      </c>
      <c r="C500" s="506">
        <v>0.95273967874631438</v>
      </c>
      <c r="D500" s="636">
        <v>0.12293328307209084</v>
      </c>
      <c r="E500" s="508">
        <v>1.7254441108925129</v>
      </c>
      <c r="F500" s="508">
        <v>1.4933940981850551</v>
      </c>
      <c r="G500" s="508">
        <v>0.50669756648854536</v>
      </c>
      <c r="H500" s="508">
        <v>0</v>
      </c>
      <c r="I500" s="508">
        <v>0</v>
      </c>
      <c r="J500" s="509">
        <v>1.2500955009076304</v>
      </c>
      <c r="K500" s="506">
        <v>0</v>
      </c>
      <c r="L500" s="507">
        <v>0</v>
      </c>
      <c r="M500" s="507">
        <v>0</v>
      </c>
      <c r="N500" s="507">
        <v>0</v>
      </c>
      <c r="O500" s="506">
        <v>0</v>
      </c>
      <c r="P500" s="506">
        <v>0</v>
      </c>
      <c r="Q500" s="507">
        <v>0</v>
      </c>
      <c r="R500" s="507">
        <v>0</v>
      </c>
      <c r="S500" s="515">
        <v>0</v>
      </c>
      <c r="T500" s="510"/>
      <c r="U500" s="528"/>
    </row>
    <row r="501" spans="1:21">
      <c r="A501" s="479"/>
      <c r="B501" s="4" t="s">
        <v>75</v>
      </c>
      <c r="C501" s="506">
        <v>3.8033120681699199E-3</v>
      </c>
      <c r="D501" s="508">
        <v>7.3836157566360243E-3</v>
      </c>
      <c r="E501" s="508">
        <v>1.2915868703514006E-2</v>
      </c>
      <c r="F501" s="508">
        <v>5.1443470907425242E-3</v>
      </c>
      <c r="G501" s="508">
        <v>1.0943199583116207E-2</v>
      </c>
      <c r="H501" s="508">
        <v>0</v>
      </c>
      <c r="I501" s="508">
        <v>0</v>
      </c>
      <c r="J501" s="509">
        <v>7.2457281392311022E-3</v>
      </c>
      <c r="K501" s="506">
        <v>0</v>
      </c>
      <c r="L501" s="507">
        <v>0</v>
      </c>
      <c r="M501" s="507">
        <v>0</v>
      </c>
      <c r="N501" s="507">
        <v>0</v>
      </c>
      <c r="O501" s="506">
        <v>0</v>
      </c>
      <c r="P501" s="506">
        <v>0</v>
      </c>
      <c r="Q501" s="507">
        <v>0</v>
      </c>
      <c r="R501" s="507">
        <v>0</v>
      </c>
      <c r="S501" s="515">
        <v>0</v>
      </c>
      <c r="T501" s="536"/>
      <c r="U501" s="542"/>
    </row>
    <row r="502" spans="1:21">
      <c r="A502" s="479"/>
      <c r="B502" s="4" t="s">
        <v>77</v>
      </c>
      <c r="C502" s="506">
        <v>2.0895922773832899E-3</v>
      </c>
      <c r="D502" s="508">
        <v>5.3189559462734652E-3</v>
      </c>
      <c r="E502" s="508">
        <v>9.184828867943683E-3</v>
      </c>
      <c r="F502" s="508">
        <v>2.1218752072143755E-3</v>
      </c>
      <c r="G502" s="508">
        <v>9.9305227165254091E-3</v>
      </c>
      <c r="H502" s="508">
        <v>0</v>
      </c>
      <c r="I502" s="508">
        <v>0</v>
      </c>
      <c r="J502" s="509">
        <v>4.9125373051735451E-3</v>
      </c>
      <c r="K502" s="506">
        <v>0</v>
      </c>
      <c r="L502" s="507">
        <v>0</v>
      </c>
      <c r="M502" s="507">
        <v>0</v>
      </c>
      <c r="N502" s="507">
        <v>0</v>
      </c>
      <c r="O502" s="506">
        <v>0</v>
      </c>
      <c r="P502" s="506">
        <v>0</v>
      </c>
      <c r="Q502" s="507">
        <v>0</v>
      </c>
      <c r="R502" s="507">
        <v>0</v>
      </c>
      <c r="S502" s="515">
        <v>0</v>
      </c>
      <c r="T502" s="543"/>
      <c r="U502" s="550"/>
    </row>
    <row r="503" spans="1:21">
      <c r="A503" s="479"/>
      <c r="B503" s="4" t="s">
        <v>101</v>
      </c>
      <c r="C503" s="506">
        <v>-0.171371979078663</v>
      </c>
      <c r="D503" s="508">
        <v>-0.20646598103625591</v>
      </c>
      <c r="E503" s="508">
        <v>-0.37310398355703234</v>
      </c>
      <c r="F503" s="508">
        <v>-0.30224718835281489</v>
      </c>
      <c r="G503" s="508">
        <v>-0.10126768665907979</v>
      </c>
      <c r="H503" s="508">
        <v>0</v>
      </c>
      <c r="I503" s="508">
        <v>0</v>
      </c>
      <c r="J503" s="509">
        <v>-0.23331908340575572</v>
      </c>
      <c r="K503" s="506">
        <v>0</v>
      </c>
      <c r="L503" s="507">
        <v>0</v>
      </c>
      <c r="M503" s="507">
        <v>0</v>
      </c>
      <c r="N503" s="507">
        <v>0</v>
      </c>
      <c r="O503" s="506">
        <v>0</v>
      </c>
      <c r="P503" s="506">
        <v>0</v>
      </c>
      <c r="Q503" s="507">
        <v>0</v>
      </c>
      <c r="R503" s="507">
        <v>0</v>
      </c>
      <c r="S503" s="515">
        <v>0</v>
      </c>
      <c r="T503" s="510"/>
      <c r="U503" s="528"/>
    </row>
    <row r="504" spans="1:21">
      <c r="A504" s="479"/>
      <c r="B504" s="4" t="s">
        <v>79</v>
      </c>
      <c r="C504" s="506">
        <v>2.2741240277033416E-3</v>
      </c>
      <c r="D504" s="508">
        <v>0</v>
      </c>
      <c r="E504" s="508">
        <v>3.4739233064623883E-3</v>
      </c>
      <c r="F504" s="508">
        <v>0</v>
      </c>
      <c r="G504" s="508">
        <v>4.2089229165831561E-3</v>
      </c>
      <c r="H504" s="508">
        <v>0</v>
      </c>
      <c r="I504" s="508">
        <v>0</v>
      </c>
      <c r="J504" s="509">
        <v>2.4694089212315001E-3</v>
      </c>
      <c r="K504" s="506">
        <v>0</v>
      </c>
      <c r="L504" s="507">
        <v>0</v>
      </c>
      <c r="M504" s="507">
        <v>0</v>
      </c>
      <c r="N504" s="507">
        <v>0</v>
      </c>
      <c r="O504" s="506">
        <v>0</v>
      </c>
      <c r="P504" s="506">
        <v>0</v>
      </c>
      <c r="Q504" s="507">
        <v>0</v>
      </c>
      <c r="R504" s="507">
        <v>0</v>
      </c>
      <c r="S504" s="515">
        <v>0</v>
      </c>
      <c r="T504" s="536"/>
      <c r="U504" s="542"/>
    </row>
    <row r="505" spans="1:21">
      <c r="A505" s="479"/>
      <c r="B505" s="4" t="s">
        <v>81</v>
      </c>
      <c r="C505" s="506">
        <v>3.579132718355838E-3</v>
      </c>
      <c r="D505" s="508">
        <v>0</v>
      </c>
      <c r="E505" s="508">
        <v>8.4078432597474606E-2</v>
      </c>
      <c r="F505" s="669">
        <v>0</v>
      </c>
      <c r="G505" s="508">
        <v>4.0049470735877196E-2</v>
      </c>
      <c r="H505" s="508">
        <v>0</v>
      </c>
      <c r="I505" s="508">
        <v>0</v>
      </c>
      <c r="J505" s="509">
        <v>3.1729403014144092E-2</v>
      </c>
      <c r="K505" s="506">
        <v>0</v>
      </c>
      <c r="L505" s="507">
        <v>0</v>
      </c>
      <c r="M505" s="507">
        <v>0</v>
      </c>
      <c r="N505" s="507">
        <v>0</v>
      </c>
      <c r="O505" s="506">
        <v>0</v>
      </c>
      <c r="P505" s="506">
        <v>0</v>
      </c>
      <c r="Q505" s="507">
        <v>0</v>
      </c>
      <c r="R505" s="507">
        <v>0</v>
      </c>
      <c r="S505" s="515">
        <v>0</v>
      </c>
      <c r="T505" s="543"/>
      <c r="U505" s="550"/>
    </row>
    <row r="506" spans="1:21">
      <c r="A506" s="479"/>
      <c r="B506" s="4" t="s">
        <v>107</v>
      </c>
      <c r="C506" s="506">
        <v>0.13050086906524963</v>
      </c>
      <c r="D506" s="508">
        <v>0</v>
      </c>
      <c r="E506" s="508">
        <v>8.0604509291012221</v>
      </c>
      <c r="F506" s="508">
        <v>0</v>
      </c>
      <c r="G506" s="508">
        <v>3.5840547819294044</v>
      </c>
      <c r="H506" s="508">
        <v>0</v>
      </c>
      <c r="I506" s="508">
        <v>0</v>
      </c>
      <c r="J506" s="509">
        <v>2.9259994092912591</v>
      </c>
      <c r="K506" s="506">
        <v>0</v>
      </c>
      <c r="L506" s="507">
        <v>0</v>
      </c>
      <c r="M506" s="507">
        <v>0</v>
      </c>
      <c r="N506" s="507">
        <v>0</v>
      </c>
      <c r="O506" s="506">
        <v>0</v>
      </c>
      <c r="P506" s="506">
        <v>0</v>
      </c>
      <c r="Q506" s="507">
        <v>0</v>
      </c>
      <c r="R506" s="507">
        <v>0</v>
      </c>
      <c r="S506" s="515">
        <v>0</v>
      </c>
      <c r="T506" s="551"/>
      <c r="U506" s="554"/>
    </row>
    <row r="507" spans="1:21">
      <c r="A507" s="479"/>
      <c r="B507" s="4" t="s">
        <v>83</v>
      </c>
      <c r="C507" s="506">
        <v>0</v>
      </c>
      <c r="D507" s="508">
        <v>0</v>
      </c>
      <c r="E507" s="508">
        <v>0</v>
      </c>
      <c r="F507" s="508">
        <v>0</v>
      </c>
      <c r="G507" s="508">
        <v>0</v>
      </c>
      <c r="H507" s="508">
        <v>0</v>
      </c>
      <c r="I507" s="508">
        <v>0</v>
      </c>
      <c r="J507" s="509">
        <v>0</v>
      </c>
      <c r="K507" s="506">
        <v>0</v>
      </c>
      <c r="L507" s="507">
        <v>0</v>
      </c>
      <c r="M507" s="507">
        <v>0</v>
      </c>
      <c r="N507" s="507">
        <v>0</v>
      </c>
      <c r="O507" s="506">
        <v>0</v>
      </c>
      <c r="P507" s="506">
        <v>0</v>
      </c>
      <c r="Q507" s="507">
        <v>0</v>
      </c>
      <c r="R507" s="507">
        <v>0</v>
      </c>
      <c r="S507" s="515">
        <v>0</v>
      </c>
      <c r="T507" s="506"/>
      <c r="U507" s="527"/>
    </row>
    <row r="508" spans="1:21">
      <c r="A508" s="479"/>
      <c r="B508" s="4" t="s">
        <v>85</v>
      </c>
      <c r="C508" s="506">
        <v>0</v>
      </c>
      <c r="D508" s="508">
        <v>0</v>
      </c>
      <c r="E508" s="508">
        <v>0</v>
      </c>
      <c r="F508" s="508">
        <v>0</v>
      </c>
      <c r="G508" s="508">
        <v>0</v>
      </c>
      <c r="H508" s="508">
        <v>0</v>
      </c>
      <c r="I508" s="508">
        <v>0</v>
      </c>
      <c r="J508" s="509">
        <v>0</v>
      </c>
      <c r="K508" s="506">
        <v>0</v>
      </c>
      <c r="L508" s="507">
        <v>0</v>
      </c>
      <c r="M508" s="507">
        <v>0</v>
      </c>
      <c r="N508" s="507">
        <v>0</v>
      </c>
      <c r="O508" s="506">
        <v>0</v>
      </c>
      <c r="P508" s="506">
        <v>0</v>
      </c>
      <c r="Q508" s="507">
        <v>0</v>
      </c>
      <c r="R508" s="507">
        <v>0</v>
      </c>
      <c r="S508" s="515">
        <v>0</v>
      </c>
      <c r="T508" s="506"/>
      <c r="U508" s="527"/>
    </row>
    <row r="509" spans="1:21">
      <c r="A509" s="502"/>
      <c r="B509" s="4" t="s">
        <v>109</v>
      </c>
      <c r="C509" s="506">
        <v>0</v>
      </c>
      <c r="D509" s="508">
        <v>0</v>
      </c>
      <c r="E509" s="508">
        <v>0</v>
      </c>
      <c r="F509" s="508">
        <v>0</v>
      </c>
      <c r="G509" s="508">
        <v>0</v>
      </c>
      <c r="H509" s="508">
        <v>0</v>
      </c>
      <c r="I509" s="508">
        <v>0</v>
      </c>
      <c r="J509" s="509">
        <v>0</v>
      </c>
      <c r="K509" s="506">
        <v>0</v>
      </c>
      <c r="L509" s="507">
        <v>0</v>
      </c>
      <c r="M509" s="507">
        <v>0</v>
      </c>
      <c r="N509" s="507">
        <v>0</v>
      </c>
      <c r="O509" s="506">
        <v>0</v>
      </c>
      <c r="P509" s="506">
        <v>0</v>
      </c>
      <c r="Q509" s="507">
        <v>0</v>
      </c>
      <c r="R509" s="507">
        <v>0</v>
      </c>
      <c r="S509" s="515">
        <v>0</v>
      </c>
      <c r="T509" s="510"/>
      <c r="U509" s="528"/>
    </row>
    <row r="510" spans="1:21">
      <c r="A510" s="478" t="s">
        <v>138</v>
      </c>
      <c r="B510" s="3" t="s">
        <v>39</v>
      </c>
      <c r="C510" s="463">
        <v>0</v>
      </c>
      <c r="D510" s="464">
        <v>0</v>
      </c>
      <c r="E510" s="464">
        <v>0</v>
      </c>
      <c r="F510" s="464">
        <v>0</v>
      </c>
      <c r="G510" s="464">
        <v>0</v>
      </c>
      <c r="H510" s="464">
        <v>0</v>
      </c>
      <c r="I510" s="464">
        <v>0</v>
      </c>
      <c r="J510" s="466">
        <v>0</v>
      </c>
      <c r="K510" s="463">
        <v>0</v>
      </c>
      <c r="L510" s="464">
        <v>0</v>
      </c>
      <c r="M510" s="464">
        <v>0</v>
      </c>
      <c r="N510" s="464">
        <v>0</v>
      </c>
      <c r="O510" s="463">
        <v>0</v>
      </c>
      <c r="P510" s="463">
        <v>0</v>
      </c>
      <c r="Q510" s="464">
        <v>0</v>
      </c>
      <c r="R510" s="464">
        <v>0</v>
      </c>
      <c r="S510" s="516">
        <v>0</v>
      </c>
      <c r="T510" s="536"/>
      <c r="U510" s="542"/>
    </row>
    <row r="511" spans="1:21">
      <c r="A511" s="479"/>
      <c r="B511" s="4" t="s">
        <v>41</v>
      </c>
      <c r="C511" s="506">
        <v>0</v>
      </c>
      <c r="D511" s="508">
        <v>0</v>
      </c>
      <c r="E511" s="508">
        <v>0</v>
      </c>
      <c r="F511" s="508">
        <v>0</v>
      </c>
      <c r="G511" s="508">
        <v>0</v>
      </c>
      <c r="H511" s="508">
        <v>0</v>
      </c>
      <c r="I511" s="508">
        <v>0</v>
      </c>
      <c r="J511" s="509">
        <v>0</v>
      </c>
      <c r="K511" s="506">
        <v>0</v>
      </c>
      <c r="L511" s="507">
        <v>0</v>
      </c>
      <c r="M511" s="507">
        <v>0</v>
      </c>
      <c r="N511" s="507">
        <v>0</v>
      </c>
      <c r="O511" s="506">
        <v>0</v>
      </c>
      <c r="P511" s="506">
        <v>0</v>
      </c>
      <c r="Q511" s="507">
        <v>0</v>
      </c>
      <c r="R511" s="507">
        <v>0</v>
      </c>
      <c r="S511" s="515">
        <v>0</v>
      </c>
      <c r="T511" s="543"/>
      <c r="U511" s="550"/>
    </row>
    <row r="512" spans="1:21">
      <c r="A512" s="479"/>
      <c r="B512" s="505" t="s">
        <v>87</v>
      </c>
      <c r="C512" s="510">
        <v>0</v>
      </c>
      <c r="D512" s="512">
        <v>0</v>
      </c>
      <c r="E512" s="512">
        <v>0</v>
      </c>
      <c r="F512" s="512">
        <v>0</v>
      </c>
      <c r="G512" s="512">
        <v>0</v>
      </c>
      <c r="H512" s="512">
        <v>0</v>
      </c>
      <c r="I512" s="512">
        <v>0</v>
      </c>
      <c r="J512" s="514">
        <v>0</v>
      </c>
      <c r="K512" s="510">
        <v>0</v>
      </c>
      <c r="L512" s="511">
        <v>0</v>
      </c>
      <c r="M512" s="511">
        <v>0</v>
      </c>
      <c r="N512" s="511">
        <v>0</v>
      </c>
      <c r="O512" s="510">
        <v>0</v>
      </c>
      <c r="P512" s="510">
        <v>0</v>
      </c>
      <c r="Q512" s="511">
        <v>0</v>
      </c>
      <c r="R512" s="511">
        <v>0</v>
      </c>
      <c r="S512" s="517">
        <v>0</v>
      </c>
      <c r="T512" s="510"/>
      <c r="U512" s="528"/>
    </row>
    <row r="513" spans="1:21">
      <c r="A513" s="479"/>
      <c r="B513" s="4" t="s">
        <v>43</v>
      </c>
      <c r="C513" s="506">
        <v>0</v>
      </c>
      <c r="D513" s="508">
        <v>0</v>
      </c>
      <c r="E513" s="508">
        <v>0</v>
      </c>
      <c r="F513" s="508">
        <v>0</v>
      </c>
      <c r="G513" s="508">
        <v>0</v>
      </c>
      <c r="H513" s="508">
        <v>0</v>
      </c>
      <c r="I513" s="508">
        <v>0</v>
      </c>
      <c r="J513" s="509">
        <v>0</v>
      </c>
      <c r="K513" s="506">
        <v>0</v>
      </c>
      <c r="L513" s="507">
        <v>0</v>
      </c>
      <c r="M513" s="507">
        <v>0</v>
      </c>
      <c r="N513" s="507">
        <v>0</v>
      </c>
      <c r="O513" s="506">
        <v>0</v>
      </c>
      <c r="P513" s="506">
        <v>0</v>
      </c>
      <c r="Q513" s="507">
        <v>0</v>
      </c>
      <c r="R513" s="507">
        <v>0</v>
      </c>
      <c r="S513" s="515">
        <v>0</v>
      </c>
      <c r="T513" s="536"/>
      <c r="U513" s="542"/>
    </row>
    <row r="514" spans="1:21">
      <c r="A514" s="479"/>
      <c r="B514" s="4" t="s">
        <v>45</v>
      </c>
      <c r="C514" s="506">
        <v>0</v>
      </c>
      <c r="D514" s="508">
        <v>0</v>
      </c>
      <c r="E514" s="508">
        <v>0</v>
      </c>
      <c r="F514" s="508">
        <v>0</v>
      </c>
      <c r="G514" s="508">
        <v>0</v>
      </c>
      <c r="H514" s="508">
        <v>0</v>
      </c>
      <c r="I514" s="508">
        <v>0</v>
      </c>
      <c r="J514" s="509">
        <v>0</v>
      </c>
      <c r="K514" s="506">
        <v>0</v>
      </c>
      <c r="L514" s="507">
        <v>0</v>
      </c>
      <c r="M514" s="507">
        <v>0</v>
      </c>
      <c r="N514" s="507">
        <v>0</v>
      </c>
      <c r="O514" s="506">
        <v>0</v>
      </c>
      <c r="P514" s="506">
        <v>0</v>
      </c>
      <c r="Q514" s="507">
        <v>0</v>
      </c>
      <c r="R514" s="507">
        <v>0</v>
      </c>
      <c r="S514" s="515">
        <v>0</v>
      </c>
      <c r="T514" s="543"/>
      <c r="U514" s="550"/>
    </row>
    <row r="515" spans="1:21">
      <c r="A515" s="479"/>
      <c r="B515" s="4" t="s">
        <v>95</v>
      </c>
      <c r="C515" s="506">
        <v>0</v>
      </c>
      <c r="D515" s="508">
        <v>0</v>
      </c>
      <c r="E515" s="508">
        <v>0</v>
      </c>
      <c r="F515" s="508">
        <v>0</v>
      </c>
      <c r="G515" s="508">
        <v>0</v>
      </c>
      <c r="H515" s="508">
        <v>0</v>
      </c>
      <c r="I515" s="508">
        <v>0</v>
      </c>
      <c r="J515" s="509">
        <v>0</v>
      </c>
      <c r="K515" s="506">
        <v>0</v>
      </c>
      <c r="L515" s="507">
        <v>0</v>
      </c>
      <c r="M515" s="507">
        <v>0</v>
      </c>
      <c r="N515" s="507">
        <v>0</v>
      </c>
      <c r="O515" s="506">
        <v>0</v>
      </c>
      <c r="P515" s="506">
        <v>0</v>
      </c>
      <c r="Q515" s="507">
        <v>0</v>
      </c>
      <c r="R515" s="507">
        <v>0</v>
      </c>
      <c r="S515" s="515">
        <v>0</v>
      </c>
      <c r="T515" s="510"/>
      <c r="U515" s="528"/>
    </row>
    <row r="516" spans="1:21">
      <c r="A516" s="479"/>
      <c r="B516" s="4" t="s">
        <v>49</v>
      </c>
      <c r="C516" s="506">
        <v>0</v>
      </c>
      <c r="D516" s="508">
        <v>0</v>
      </c>
      <c r="E516" s="508">
        <v>0</v>
      </c>
      <c r="F516" s="508">
        <v>0</v>
      </c>
      <c r="G516" s="508">
        <v>0</v>
      </c>
      <c r="H516" s="508">
        <v>0</v>
      </c>
      <c r="I516" s="508">
        <v>0</v>
      </c>
      <c r="J516" s="509">
        <v>0</v>
      </c>
      <c r="K516" s="506">
        <v>0</v>
      </c>
      <c r="L516" s="507">
        <v>0</v>
      </c>
      <c r="M516" s="507">
        <v>0</v>
      </c>
      <c r="N516" s="507">
        <v>0</v>
      </c>
      <c r="O516" s="506">
        <v>0</v>
      </c>
      <c r="P516" s="506">
        <v>0</v>
      </c>
      <c r="Q516" s="507">
        <v>0</v>
      </c>
      <c r="R516" s="507">
        <v>0</v>
      </c>
      <c r="S516" s="515">
        <v>0</v>
      </c>
      <c r="T516" s="536"/>
      <c r="U516" s="542"/>
    </row>
    <row r="517" spans="1:21">
      <c r="A517" s="479"/>
      <c r="B517" s="4" t="s">
        <v>51</v>
      </c>
      <c r="C517" s="506">
        <v>0</v>
      </c>
      <c r="D517" s="508">
        <v>0</v>
      </c>
      <c r="E517" s="508">
        <v>0</v>
      </c>
      <c r="F517" s="508">
        <v>0</v>
      </c>
      <c r="G517" s="508">
        <v>0</v>
      </c>
      <c r="H517" s="508">
        <v>0</v>
      </c>
      <c r="I517" s="508">
        <v>0</v>
      </c>
      <c r="J517" s="509">
        <v>0</v>
      </c>
      <c r="K517" s="506">
        <v>0</v>
      </c>
      <c r="L517" s="507">
        <v>0</v>
      </c>
      <c r="M517" s="507">
        <v>0</v>
      </c>
      <c r="N517" s="507">
        <v>0</v>
      </c>
      <c r="O517" s="506">
        <v>0</v>
      </c>
      <c r="P517" s="506">
        <v>0</v>
      </c>
      <c r="Q517" s="507">
        <v>0</v>
      </c>
      <c r="R517" s="507">
        <v>0</v>
      </c>
      <c r="S517" s="515">
        <v>0</v>
      </c>
      <c r="T517" s="543"/>
      <c r="U517" s="550"/>
    </row>
    <row r="518" spans="1:21">
      <c r="A518" s="479"/>
      <c r="B518" s="4" t="s">
        <v>97</v>
      </c>
      <c r="C518" s="506">
        <v>0</v>
      </c>
      <c r="D518" s="508">
        <v>0</v>
      </c>
      <c r="E518" s="508">
        <v>0</v>
      </c>
      <c r="F518" s="508">
        <v>0</v>
      </c>
      <c r="G518" s="508">
        <v>0</v>
      </c>
      <c r="H518" s="508">
        <v>0</v>
      </c>
      <c r="I518" s="508">
        <v>0</v>
      </c>
      <c r="J518" s="509">
        <v>0</v>
      </c>
      <c r="K518" s="506">
        <v>0</v>
      </c>
      <c r="L518" s="507">
        <v>0</v>
      </c>
      <c r="M518" s="507">
        <v>0</v>
      </c>
      <c r="N518" s="507">
        <v>0</v>
      </c>
      <c r="O518" s="506">
        <v>0</v>
      </c>
      <c r="P518" s="506">
        <v>0</v>
      </c>
      <c r="Q518" s="507">
        <v>0</v>
      </c>
      <c r="R518" s="507">
        <v>0</v>
      </c>
      <c r="S518" s="515">
        <v>0</v>
      </c>
      <c r="T518" s="510"/>
      <c r="U518" s="528"/>
    </row>
    <row r="519" spans="1:21">
      <c r="A519" s="479"/>
      <c r="B519" s="4" t="s">
        <v>53</v>
      </c>
      <c r="C519" s="506">
        <v>0</v>
      </c>
      <c r="D519" s="508">
        <v>0</v>
      </c>
      <c r="E519" s="508">
        <v>0</v>
      </c>
      <c r="F519" s="508">
        <v>0</v>
      </c>
      <c r="G519" s="508">
        <v>0</v>
      </c>
      <c r="H519" s="508">
        <v>0</v>
      </c>
      <c r="I519" s="508">
        <v>0</v>
      </c>
      <c r="J519" s="509">
        <v>0</v>
      </c>
      <c r="K519" s="506">
        <v>0</v>
      </c>
      <c r="L519" s="507">
        <v>0</v>
      </c>
      <c r="M519" s="507">
        <v>0</v>
      </c>
      <c r="N519" s="507">
        <v>0</v>
      </c>
      <c r="O519" s="506">
        <v>0</v>
      </c>
      <c r="P519" s="506">
        <v>0</v>
      </c>
      <c r="Q519" s="507">
        <v>0</v>
      </c>
      <c r="R519" s="507">
        <v>0</v>
      </c>
      <c r="S519" s="515">
        <v>0</v>
      </c>
      <c r="T519" s="536"/>
      <c r="U519" s="542"/>
    </row>
    <row r="520" spans="1:21">
      <c r="A520" s="479"/>
      <c r="B520" s="4" t="s">
        <v>55</v>
      </c>
      <c r="C520" s="506">
        <v>0</v>
      </c>
      <c r="D520" s="508">
        <v>0</v>
      </c>
      <c r="E520" s="508">
        <v>0</v>
      </c>
      <c r="F520" s="508">
        <v>0</v>
      </c>
      <c r="G520" s="508">
        <v>0</v>
      </c>
      <c r="H520" s="508">
        <v>0</v>
      </c>
      <c r="I520" s="508">
        <v>0</v>
      </c>
      <c r="J520" s="509">
        <v>0</v>
      </c>
      <c r="K520" s="506">
        <v>0</v>
      </c>
      <c r="L520" s="507">
        <v>0</v>
      </c>
      <c r="M520" s="507">
        <v>0</v>
      </c>
      <c r="N520" s="507">
        <v>0</v>
      </c>
      <c r="O520" s="506">
        <v>0</v>
      </c>
      <c r="P520" s="506">
        <v>0</v>
      </c>
      <c r="Q520" s="507">
        <v>0</v>
      </c>
      <c r="R520" s="507">
        <v>0</v>
      </c>
      <c r="S520" s="515">
        <v>0</v>
      </c>
      <c r="T520" s="543"/>
      <c r="U520" s="550"/>
    </row>
    <row r="521" spans="1:21">
      <c r="A521" s="479"/>
      <c r="B521" s="4" t="s">
        <v>103</v>
      </c>
      <c r="C521" s="506">
        <v>0</v>
      </c>
      <c r="D521" s="508">
        <v>0</v>
      </c>
      <c r="E521" s="508">
        <v>0</v>
      </c>
      <c r="F521" s="508">
        <v>0</v>
      </c>
      <c r="G521" s="508">
        <v>0</v>
      </c>
      <c r="H521" s="508">
        <v>0</v>
      </c>
      <c r="I521" s="508">
        <v>0</v>
      </c>
      <c r="J521" s="509">
        <v>0</v>
      </c>
      <c r="K521" s="506">
        <v>0</v>
      </c>
      <c r="L521" s="507">
        <v>0</v>
      </c>
      <c r="M521" s="507">
        <v>0</v>
      </c>
      <c r="N521" s="507">
        <v>0</v>
      </c>
      <c r="O521" s="506">
        <v>0</v>
      </c>
      <c r="P521" s="506">
        <v>0</v>
      </c>
      <c r="Q521" s="507">
        <v>0</v>
      </c>
      <c r="R521" s="507">
        <v>0</v>
      </c>
      <c r="S521" s="515">
        <v>0</v>
      </c>
      <c r="T521" s="510"/>
      <c r="U521" s="528"/>
    </row>
    <row r="522" spans="1:21">
      <c r="A522" s="479"/>
      <c r="B522" s="4" t="s">
        <v>57</v>
      </c>
      <c r="C522" s="506">
        <v>0</v>
      </c>
      <c r="D522" s="508">
        <v>0</v>
      </c>
      <c r="E522" s="508">
        <v>0</v>
      </c>
      <c r="F522" s="508">
        <v>0</v>
      </c>
      <c r="G522" s="508">
        <v>0</v>
      </c>
      <c r="H522" s="508">
        <v>0</v>
      </c>
      <c r="I522" s="508">
        <v>0</v>
      </c>
      <c r="J522" s="509">
        <v>0</v>
      </c>
      <c r="K522" s="506">
        <v>0</v>
      </c>
      <c r="L522" s="507">
        <v>0</v>
      </c>
      <c r="M522" s="507">
        <v>0</v>
      </c>
      <c r="N522" s="507">
        <v>0</v>
      </c>
      <c r="O522" s="506">
        <v>0</v>
      </c>
      <c r="P522" s="506">
        <v>0</v>
      </c>
      <c r="Q522" s="507">
        <v>0</v>
      </c>
      <c r="R522" s="507">
        <v>0</v>
      </c>
      <c r="S522" s="515">
        <v>0</v>
      </c>
      <c r="T522" s="536"/>
      <c r="U522" s="542"/>
    </row>
    <row r="523" spans="1:21">
      <c r="A523" s="479"/>
      <c r="B523" s="4" t="s">
        <v>59</v>
      </c>
      <c r="C523" s="506">
        <v>0</v>
      </c>
      <c r="D523" s="508">
        <v>0</v>
      </c>
      <c r="E523" s="508">
        <v>0</v>
      </c>
      <c r="F523" s="508">
        <v>0</v>
      </c>
      <c r="G523" s="508">
        <v>0</v>
      </c>
      <c r="H523" s="508">
        <v>0</v>
      </c>
      <c r="I523" s="508">
        <v>0</v>
      </c>
      <c r="J523" s="509">
        <v>0</v>
      </c>
      <c r="K523" s="506">
        <v>0</v>
      </c>
      <c r="L523" s="507">
        <v>0</v>
      </c>
      <c r="M523" s="507">
        <v>0</v>
      </c>
      <c r="N523" s="507">
        <v>0</v>
      </c>
      <c r="O523" s="506">
        <v>0</v>
      </c>
      <c r="P523" s="506">
        <v>0</v>
      </c>
      <c r="Q523" s="507">
        <v>0</v>
      </c>
      <c r="R523" s="507">
        <v>0</v>
      </c>
      <c r="S523" s="515">
        <v>0</v>
      </c>
      <c r="T523" s="543"/>
      <c r="U523" s="550"/>
    </row>
    <row r="524" spans="1:21">
      <c r="A524" s="479"/>
      <c r="B524" s="4" t="s">
        <v>105</v>
      </c>
      <c r="C524" s="506">
        <v>0</v>
      </c>
      <c r="D524" s="508">
        <v>0</v>
      </c>
      <c r="E524" s="508">
        <v>0</v>
      </c>
      <c r="F524" s="508">
        <v>0</v>
      </c>
      <c r="G524" s="508">
        <v>0</v>
      </c>
      <c r="H524" s="508">
        <v>0</v>
      </c>
      <c r="I524" s="508">
        <v>0</v>
      </c>
      <c r="J524" s="509">
        <v>0</v>
      </c>
      <c r="K524" s="506">
        <v>0</v>
      </c>
      <c r="L524" s="507">
        <v>0</v>
      </c>
      <c r="M524" s="507">
        <v>0</v>
      </c>
      <c r="N524" s="507">
        <v>0</v>
      </c>
      <c r="O524" s="506">
        <v>0</v>
      </c>
      <c r="P524" s="506">
        <v>0</v>
      </c>
      <c r="Q524" s="507">
        <v>0</v>
      </c>
      <c r="R524" s="507">
        <v>0</v>
      </c>
      <c r="S524" s="515">
        <v>0</v>
      </c>
      <c r="T524" s="510"/>
      <c r="U524" s="528"/>
    </row>
    <row r="525" spans="1:21">
      <c r="A525" s="479"/>
      <c r="B525" s="4" t="s">
        <v>61</v>
      </c>
      <c r="C525" s="506">
        <v>0</v>
      </c>
      <c r="D525" s="508">
        <v>0</v>
      </c>
      <c r="E525" s="508">
        <v>0</v>
      </c>
      <c r="F525" s="508">
        <v>0</v>
      </c>
      <c r="G525" s="508">
        <v>0</v>
      </c>
      <c r="H525" s="508">
        <v>0</v>
      </c>
      <c r="I525" s="508">
        <v>0</v>
      </c>
      <c r="J525" s="509">
        <v>0</v>
      </c>
      <c r="K525" s="506">
        <v>0</v>
      </c>
      <c r="L525" s="507">
        <v>0</v>
      </c>
      <c r="M525" s="507">
        <v>0</v>
      </c>
      <c r="N525" s="507">
        <v>0</v>
      </c>
      <c r="O525" s="506">
        <v>0</v>
      </c>
      <c r="P525" s="506">
        <v>0</v>
      </c>
      <c r="Q525" s="507">
        <v>0</v>
      </c>
      <c r="R525" s="507">
        <v>0</v>
      </c>
      <c r="S525" s="515">
        <v>0</v>
      </c>
      <c r="T525" s="536"/>
      <c r="U525" s="542"/>
    </row>
    <row r="526" spans="1:21">
      <c r="A526" s="479"/>
      <c r="B526" s="4" t="s">
        <v>63</v>
      </c>
      <c r="C526" s="506">
        <v>0</v>
      </c>
      <c r="D526" s="508">
        <v>0</v>
      </c>
      <c r="E526" s="508">
        <v>0</v>
      </c>
      <c r="F526" s="508">
        <v>0</v>
      </c>
      <c r="G526" s="508">
        <v>0</v>
      </c>
      <c r="H526" s="508">
        <v>0</v>
      </c>
      <c r="I526" s="508">
        <v>0</v>
      </c>
      <c r="J526" s="509">
        <v>0</v>
      </c>
      <c r="K526" s="506">
        <v>0</v>
      </c>
      <c r="L526" s="507">
        <v>0</v>
      </c>
      <c r="M526" s="507">
        <v>0</v>
      </c>
      <c r="N526" s="507">
        <v>0</v>
      </c>
      <c r="O526" s="506">
        <v>0</v>
      </c>
      <c r="P526" s="506">
        <v>0</v>
      </c>
      <c r="Q526" s="507">
        <v>0</v>
      </c>
      <c r="R526" s="507">
        <v>0</v>
      </c>
      <c r="S526" s="515">
        <v>0</v>
      </c>
      <c r="T526" s="543"/>
      <c r="U526" s="550"/>
    </row>
    <row r="527" spans="1:21">
      <c r="A527" s="479"/>
      <c r="B527" s="4" t="s">
        <v>91</v>
      </c>
      <c r="C527" s="506">
        <v>0</v>
      </c>
      <c r="D527" s="508">
        <v>0</v>
      </c>
      <c r="E527" s="508">
        <v>0</v>
      </c>
      <c r="F527" s="508">
        <v>0</v>
      </c>
      <c r="G527" s="508">
        <v>0</v>
      </c>
      <c r="H527" s="508">
        <v>0</v>
      </c>
      <c r="I527" s="508">
        <v>0</v>
      </c>
      <c r="J527" s="509">
        <v>0</v>
      </c>
      <c r="K527" s="506">
        <v>0</v>
      </c>
      <c r="L527" s="507">
        <v>0</v>
      </c>
      <c r="M527" s="507">
        <v>0</v>
      </c>
      <c r="N527" s="507">
        <v>0</v>
      </c>
      <c r="O527" s="506">
        <v>0</v>
      </c>
      <c r="P527" s="506">
        <v>0</v>
      </c>
      <c r="Q527" s="507">
        <v>0</v>
      </c>
      <c r="R527" s="507">
        <v>0</v>
      </c>
      <c r="S527" s="515">
        <v>0</v>
      </c>
      <c r="T527" s="510"/>
      <c r="U527" s="528"/>
    </row>
    <row r="528" spans="1:21">
      <c r="A528" s="479"/>
      <c r="B528" s="4" t="s">
        <v>47</v>
      </c>
      <c r="C528" s="506">
        <v>0</v>
      </c>
      <c r="D528" s="508">
        <v>0</v>
      </c>
      <c r="E528" s="508">
        <v>0</v>
      </c>
      <c r="F528" s="508">
        <v>0</v>
      </c>
      <c r="G528" s="508">
        <v>0</v>
      </c>
      <c r="H528" s="508">
        <v>0</v>
      </c>
      <c r="I528" s="508">
        <v>0</v>
      </c>
      <c r="J528" s="509">
        <v>0</v>
      </c>
      <c r="K528" s="506">
        <v>0</v>
      </c>
      <c r="L528" s="507">
        <v>0</v>
      </c>
      <c r="M528" s="507">
        <v>0</v>
      </c>
      <c r="N528" s="507">
        <v>0</v>
      </c>
      <c r="O528" s="506">
        <v>0</v>
      </c>
      <c r="P528" s="506">
        <v>0</v>
      </c>
      <c r="Q528" s="507">
        <v>0</v>
      </c>
      <c r="R528" s="507">
        <v>0</v>
      </c>
      <c r="S528" s="515">
        <v>0</v>
      </c>
      <c r="T528" s="536"/>
      <c r="U528" s="542"/>
    </row>
    <row r="529" spans="1:21">
      <c r="A529" s="479"/>
      <c r="B529" s="4" t="s">
        <v>65</v>
      </c>
      <c r="C529" s="506">
        <v>0</v>
      </c>
      <c r="D529" s="508">
        <v>0</v>
      </c>
      <c r="E529" s="508">
        <v>0</v>
      </c>
      <c r="F529" s="508">
        <v>0</v>
      </c>
      <c r="G529" s="508">
        <v>0</v>
      </c>
      <c r="H529" s="508">
        <v>0</v>
      </c>
      <c r="I529" s="508">
        <v>0</v>
      </c>
      <c r="J529" s="509">
        <v>0</v>
      </c>
      <c r="K529" s="506">
        <v>0</v>
      </c>
      <c r="L529" s="507">
        <v>0</v>
      </c>
      <c r="M529" s="507">
        <v>0</v>
      </c>
      <c r="N529" s="507">
        <v>0</v>
      </c>
      <c r="O529" s="506">
        <v>0</v>
      </c>
      <c r="P529" s="506">
        <v>0</v>
      </c>
      <c r="Q529" s="507">
        <v>0</v>
      </c>
      <c r="R529" s="507">
        <v>0</v>
      </c>
      <c r="S529" s="515">
        <v>0</v>
      </c>
      <c r="T529" s="543"/>
      <c r="U529" s="550"/>
    </row>
    <row r="530" spans="1:21">
      <c r="A530" s="479"/>
      <c r="B530" s="4" t="s">
        <v>89</v>
      </c>
      <c r="C530" s="506">
        <v>0</v>
      </c>
      <c r="D530" s="508">
        <v>0</v>
      </c>
      <c r="E530" s="508">
        <v>0</v>
      </c>
      <c r="F530" s="508">
        <v>0</v>
      </c>
      <c r="G530" s="508">
        <v>0</v>
      </c>
      <c r="H530" s="508">
        <v>0</v>
      </c>
      <c r="I530" s="508">
        <v>0</v>
      </c>
      <c r="J530" s="509">
        <v>0</v>
      </c>
      <c r="K530" s="506">
        <v>0</v>
      </c>
      <c r="L530" s="507">
        <v>0</v>
      </c>
      <c r="M530" s="507">
        <v>0</v>
      </c>
      <c r="N530" s="507">
        <v>0</v>
      </c>
      <c r="O530" s="506">
        <v>0</v>
      </c>
      <c r="P530" s="506">
        <v>0</v>
      </c>
      <c r="Q530" s="507">
        <v>0</v>
      </c>
      <c r="R530" s="507">
        <v>0</v>
      </c>
      <c r="S530" s="515">
        <v>0</v>
      </c>
      <c r="T530" s="510"/>
      <c r="U530" s="528"/>
    </row>
    <row r="531" spans="1:21">
      <c r="A531" s="479"/>
      <c r="B531" s="4" t="s">
        <v>67</v>
      </c>
      <c r="C531" s="506">
        <v>0</v>
      </c>
      <c r="D531" s="508">
        <v>0</v>
      </c>
      <c r="E531" s="508">
        <v>0</v>
      </c>
      <c r="F531" s="508">
        <v>0</v>
      </c>
      <c r="G531" s="508">
        <v>0</v>
      </c>
      <c r="H531" s="508">
        <v>0</v>
      </c>
      <c r="I531" s="508">
        <v>0</v>
      </c>
      <c r="J531" s="509">
        <v>0</v>
      </c>
      <c r="K531" s="506">
        <v>0</v>
      </c>
      <c r="L531" s="507">
        <v>0</v>
      </c>
      <c r="M531" s="507">
        <v>0</v>
      </c>
      <c r="N531" s="507">
        <v>0</v>
      </c>
      <c r="O531" s="506">
        <v>0</v>
      </c>
      <c r="P531" s="506">
        <v>0</v>
      </c>
      <c r="Q531" s="507">
        <v>0</v>
      </c>
      <c r="R531" s="507">
        <v>0</v>
      </c>
      <c r="S531" s="515">
        <v>0</v>
      </c>
      <c r="T531" s="536"/>
      <c r="U531" s="542"/>
    </row>
    <row r="532" spans="1:21">
      <c r="A532" s="479"/>
      <c r="B532" s="4" t="s">
        <v>69</v>
      </c>
      <c r="C532" s="506">
        <v>0</v>
      </c>
      <c r="D532" s="508">
        <v>0</v>
      </c>
      <c r="E532" s="508">
        <v>0</v>
      </c>
      <c r="F532" s="508">
        <v>0</v>
      </c>
      <c r="G532" s="508">
        <v>0</v>
      </c>
      <c r="H532" s="508">
        <v>0</v>
      </c>
      <c r="I532" s="508">
        <v>0</v>
      </c>
      <c r="J532" s="509">
        <v>0</v>
      </c>
      <c r="K532" s="506">
        <v>0</v>
      </c>
      <c r="L532" s="507">
        <v>0</v>
      </c>
      <c r="M532" s="507">
        <v>0</v>
      </c>
      <c r="N532" s="507">
        <v>0</v>
      </c>
      <c r="O532" s="506">
        <v>0</v>
      </c>
      <c r="P532" s="506">
        <v>0</v>
      </c>
      <c r="Q532" s="507">
        <v>0</v>
      </c>
      <c r="R532" s="507">
        <v>0</v>
      </c>
      <c r="S532" s="515">
        <v>0</v>
      </c>
      <c r="T532" s="543"/>
      <c r="U532" s="550"/>
    </row>
    <row r="533" spans="1:21">
      <c r="A533" s="479"/>
      <c r="B533" s="4" t="s">
        <v>93</v>
      </c>
      <c r="C533" s="506">
        <v>0</v>
      </c>
      <c r="D533" s="508">
        <v>0</v>
      </c>
      <c r="E533" s="508">
        <v>0</v>
      </c>
      <c r="F533" s="508">
        <v>0</v>
      </c>
      <c r="G533" s="508">
        <v>0</v>
      </c>
      <c r="H533" s="508">
        <v>0</v>
      </c>
      <c r="I533" s="508">
        <v>0</v>
      </c>
      <c r="J533" s="509">
        <v>0</v>
      </c>
      <c r="K533" s="506">
        <v>0</v>
      </c>
      <c r="L533" s="507">
        <v>0</v>
      </c>
      <c r="M533" s="507">
        <v>0</v>
      </c>
      <c r="N533" s="507">
        <v>0</v>
      </c>
      <c r="O533" s="506">
        <v>0</v>
      </c>
      <c r="P533" s="506">
        <v>0</v>
      </c>
      <c r="Q533" s="507">
        <v>0</v>
      </c>
      <c r="R533" s="507">
        <v>0</v>
      </c>
      <c r="S533" s="515">
        <v>0</v>
      </c>
      <c r="T533" s="510"/>
      <c r="U533" s="528"/>
    </row>
    <row r="534" spans="1:21">
      <c r="A534" s="479"/>
      <c r="B534" s="4" t="s">
        <v>71</v>
      </c>
      <c r="C534" s="506">
        <v>0</v>
      </c>
      <c r="D534" s="508">
        <v>0</v>
      </c>
      <c r="E534" s="508">
        <v>0</v>
      </c>
      <c r="F534" s="508">
        <v>0</v>
      </c>
      <c r="G534" s="508">
        <v>0</v>
      </c>
      <c r="H534" s="508">
        <v>0</v>
      </c>
      <c r="I534" s="508">
        <v>0</v>
      </c>
      <c r="J534" s="509">
        <v>0</v>
      </c>
      <c r="K534" s="506">
        <v>0</v>
      </c>
      <c r="L534" s="507">
        <v>0</v>
      </c>
      <c r="M534" s="507">
        <v>0</v>
      </c>
      <c r="N534" s="507">
        <v>0</v>
      </c>
      <c r="O534" s="506">
        <v>0</v>
      </c>
      <c r="P534" s="506">
        <v>0</v>
      </c>
      <c r="Q534" s="507">
        <v>0</v>
      </c>
      <c r="R534" s="507">
        <v>0</v>
      </c>
      <c r="S534" s="515">
        <v>0</v>
      </c>
      <c r="T534" s="536"/>
      <c r="U534" s="542"/>
    </row>
    <row r="535" spans="1:21">
      <c r="A535" s="479"/>
      <c r="B535" s="4" t="s">
        <v>73</v>
      </c>
      <c r="C535" s="506">
        <v>0</v>
      </c>
      <c r="D535" s="508">
        <v>0</v>
      </c>
      <c r="E535" s="508">
        <v>0</v>
      </c>
      <c r="F535" s="508">
        <v>0</v>
      </c>
      <c r="G535" s="508">
        <v>0</v>
      </c>
      <c r="H535" s="508">
        <v>0</v>
      </c>
      <c r="I535" s="508">
        <v>0</v>
      </c>
      <c r="J535" s="509">
        <v>0</v>
      </c>
      <c r="K535" s="506">
        <v>0</v>
      </c>
      <c r="L535" s="507">
        <v>0</v>
      </c>
      <c r="M535" s="507">
        <v>0</v>
      </c>
      <c r="N535" s="507">
        <v>0</v>
      </c>
      <c r="O535" s="506">
        <v>0</v>
      </c>
      <c r="P535" s="506">
        <v>0</v>
      </c>
      <c r="Q535" s="507">
        <v>0</v>
      </c>
      <c r="R535" s="507">
        <v>0</v>
      </c>
      <c r="S535" s="515">
        <v>0</v>
      </c>
      <c r="T535" s="543"/>
      <c r="U535" s="550"/>
    </row>
    <row r="536" spans="1:21">
      <c r="A536" s="479"/>
      <c r="B536" s="4" t="s">
        <v>99</v>
      </c>
      <c r="C536" s="506">
        <v>0</v>
      </c>
      <c r="D536" s="508">
        <v>0</v>
      </c>
      <c r="E536" s="508">
        <v>0</v>
      </c>
      <c r="F536" s="508">
        <v>0</v>
      </c>
      <c r="G536" s="508">
        <v>0</v>
      </c>
      <c r="H536" s="508">
        <v>0</v>
      </c>
      <c r="I536" s="508">
        <v>0</v>
      </c>
      <c r="J536" s="509">
        <v>0</v>
      </c>
      <c r="K536" s="506">
        <v>0</v>
      </c>
      <c r="L536" s="507">
        <v>0</v>
      </c>
      <c r="M536" s="507">
        <v>0</v>
      </c>
      <c r="N536" s="507">
        <v>0</v>
      </c>
      <c r="O536" s="506">
        <v>0</v>
      </c>
      <c r="P536" s="506">
        <v>0</v>
      </c>
      <c r="Q536" s="507">
        <v>0</v>
      </c>
      <c r="R536" s="507">
        <v>0</v>
      </c>
      <c r="S536" s="515">
        <v>0</v>
      </c>
      <c r="T536" s="510"/>
      <c r="U536" s="528"/>
    </row>
    <row r="537" spans="1:21">
      <c r="A537" s="479"/>
      <c r="B537" s="4" t="s">
        <v>75</v>
      </c>
      <c r="C537" s="506">
        <v>0</v>
      </c>
      <c r="D537" s="508">
        <v>0</v>
      </c>
      <c r="E537" s="508">
        <v>0</v>
      </c>
      <c r="F537" s="508">
        <v>0</v>
      </c>
      <c r="G537" s="508">
        <v>0</v>
      </c>
      <c r="H537" s="508">
        <v>0</v>
      </c>
      <c r="I537" s="508">
        <v>0</v>
      </c>
      <c r="J537" s="509">
        <v>0</v>
      </c>
      <c r="K537" s="506">
        <v>0</v>
      </c>
      <c r="L537" s="507">
        <v>0</v>
      </c>
      <c r="M537" s="507">
        <v>0</v>
      </c>
      <c r="N537" s="507">
        <v>0</v>
      </c>
      <c r="O537" s="506">
        <v>0</v>
      </c>
      <c r="P537" s="506">
        <v>0</v>
      </c>
      <c r="Q537" s="507">
        <v>0</v>
      </c>
      <c r="R537" s="507">
        <v>0</v>
      </c>
      <c r="S537" s="515">
        <v>0</v>
      </c>
      <c r="T537" s="536"/>
      <c r="U537" s="542"/>
    </row>
    <row r="538" spans="1:21">
      <c r="A538" s="479"/>
      <c r="B538" s="4" t="s">
        <v>77</v>
      </c>
      <c r="C538" s="506">
        <v>0</v>
      </c>
      <c r="D538" s="508">
        <v>0</v>
      </c>
      <c r="E538" s="508">
        <v>0</v>
      </c>
      <c r="F538" s="508">
        <v>0</v>
      </c>
      <c r="G538" s="508">
        <v>0</v>
      </c>
      <c r="H538" s="508">
        <v>0</v>
      </c>
      <c r="I538" s="508">
        <v>0</v>
      </c>
      <c r="J538" s="509">
        <v>0</v>
      </c>
      <c r="K538" s="506">
        <v>0</v>
      </c>
      <c r="L538" s="507">
        <v>0</v>
      </c>
      <c r="M538" s="507">
        <v>0</v>
      </c>
      <c r="N538" s="507">
        <v>0</v>
      </c>
      <c r="O538" s="506">
        <v>0</v>
      </c>
      <c r="P538" s="506">
        <v>0</v>
      </c>
      <c r="Q538" s="507">
        <v>0</v>
      </c>
      <c r="R538" s="507">
        <v>0</v>
      </c>
      <c r="S538" s="515">
        <v>0</v>
      </c>
      <c r="T538" s="543"/>
      <c r="U538" s="550"/>
    </row>
    <row r="539" spans="1:21">
      <c r="A539" s="479"/>
      <c r="B539" s="4" t="s">
        <v>101</v>
      </c>
      <c r="C539" s="506">
        <v>0</v>
      </c>
      <c r="D539" s="508">
        <v>0</v>
      </c>
      <c r="E539" s="508">
        <v>0</v>
      </c>
      <c r="F539" s="508">
        <v>0</v>
      </c>
      <c r="G539" s="508">
        <v>0</v>
      </c>
      <c r="H539" s="508">
        <v>0</v>
      </c>
      <c r="I539" s="508">
        <v>0</v>
      </c>
      <c r="J539" s="509">
        <v>0</v>
      </c>
      <c r="K539" s="506">
        <v>0</v>
      </c>
      <c r="L539" s="507">
        <v>0</v>
      </c>
      <c r="M539" s="507">
        <v>0</v>
      </c>
      <c r="N539" s="507">
        <v>0</v>
      </c>
      <c r="O539" s="506">
        <v>0</v>
      </c>
      <c r="P539" s="506">
        <v>0</v>
      </c>
      <c r="Q539" s="507">
        <v>0</v>
      </c>
      <c r="R539" s="507">
        <v>0</v>
      </c>
      <c r="S539" s="515">
        <v>0</v>
      </c>
      <c r="T539" s="510"/>
      <c r="U539" s="528"/>
    </row>
    <row r="540" spans="1:21">
      <c r="A540" s="479"/>
      <c r="B540" s="4" t="s">
        <v>79</v>
      </c>
      <c r="C540" s="506">
        <v>0</v>
      </c>
      <c r="D540" s="508">
        <v>0</v>
      </c>
      <c r="E540" s="508">
        <v>0</v>
      </c>
      <c r="F540" s="508">
        <v>0</v>
      </c>
      <c r="G540" s="508">
        <v>0</v>
      </c>
      <c r="H540" s="508">
        <v>0</v>
      </c>
      <c r="I540" s="508">
        <v>0</v>
      </c>
      <c r="J540" s="509">
        <v>0</v>
      </c>
      <c r="K540" s="506">
        <v>0</v>
      </c>
      <c r="L540" s="507">
        <v>0</v>
      </c>
      <c r="M540" s="507">
        <v>0</v>
      </c>
      <c r="N540" s="507">
        <v>0</v>
      </c>
      <c r="O540" s="506">
        <v>0</v>
      </c>
      <c r="P540" s="506">
        <v>0</v>
      </c>
      <c r="Q540" s="507">
        <v>0</v>
      </c>
      <c r="R540" s="507">
        <v>0</v>
      </c>
      <c r="S540" s="515">
        <v>0</v>
      </c>
      <c r="T540" s="536"/>
      <c r="U540" s="542"/>
    </row>
    <row r="541" spans="1:21">
      <c r="A541" s="479"/>
      <c r="B541" s="4" t="s">
        <v>81</v>
      </c>
      <c r="C541" s="506">
        <v>0</v>
      </c>
      <c r="D541" s="508">
        <v>0</v>
      </c>
      <c r="E541" s="508">
        <v>0</v>
      </c>
      <c r="F541" s="508">
        <v>0</v>
      </c>
      <c r="G541" s="508">
        <v>0</v>
      </c>
      <c r="H541" s="508">
        <v>0</v>
      </c>
      <c r="I541" s="508">
        <v>0</v>
      </c>
      <c r="J541" s="509">
        <v>0</v>
      </c>
      <c r="K541" s="506">
        <v>0</v>
      </c>
      <c r="L541" s="507">
        <v>0</v>
      </c>
      <c r="M541" s="507">
        <v>0</v>
      </c>
      <c r="N541" s="507">
        <v>0</v>
      </c>
      <c r="O541" s="506">
        <v>0</v>
      </c>
      <c r="P541" s="506">
        <v>0</v>
      </c>
      <c r="Q541" s="507">
        <v>0</v>
      </c>
      <c r="R541" s="507">
        <v>0</v>
      </c>
      <c r="S541" s="515">
        <v>0</v>
      </c>
      <c r="T541" s="543"/>
      <c r="U541" s="550"/>
    </row>
    <row r="542" spans="1:21">
      <c r="A542" s="479"/>
      <c r="B542" s="4" t="s">
        <v>107</v>
      </c>
      <c r="C542" s="506">
        <v>0</v>
      </c>
      <c r="D542" s="508">
        <v>0</v>
      </c>
      <c r="E542" s="508">
        <v>0</v>
      </c>
      <c r="F542" s="508">
        <v>0</v>
      </c>
      <c r="G542" s="508">
        <v>0</v>
      </c>
      <c r="H542" s="508">
        <v>0</v>
      </c>
      <c r="I542" s="508">
        <v>0</v>
      </c>
      <c r="J542" s="509">
        <v>0</v>
      </c>
      <c r="K542" s="506">
        <v>0</v>
      </c>
      <c r="L542" s="507">
        <v>0</v>
      </c>
      <c r="M542" s="507">
        <v>0</v>
      </c>
      <c r="N542" s="507">
        <v>0</v>
      </c>
      <c r="O542" s="506">
        <v>0</v>
      </c>
      <c r="P542" s="506">
        <v>0</v>
      </c>
      <c r="Q542" s="507">
        <v>0</v>
      </c>
      <c r="R542" s="507">
        <v>0</v>
      </c>
      <c r="S542" s="515">
        <v>0</v>
      </c>
      <c r="T542" s="551"/>
      <c r="U542" s="554"/>
    </row>
    <row r="543" spans="1:21">
      <c r="A543" s="479"/>
      <c r="B543" s="4" t="s">
        <v>83</v>
      </c>
      <c r="C543" s="506">
        <v>0</v>
      </c>
      <c r="D543" s="508">
        <v>0</v>
      </c>
      <c r="E543" s="508">
        <v>0</v>
      </c>
      <c r="F543" s="508">
        <v>0</v>
      </c>
      <c r="G543" s="508">
        <v>0</v>
      </c>
      <c r="H543" s="508">
        <v>0</v>
      </c>
      <c r="I543" s="508">
        <v>0</v>
      </c>
      <c r="J543" s="509">
        <v>0</v>
      </c>
      <c r="K543" s="506">
        <v>0</v>
      </c>
      <c r="L543" s="507">
        <v>0</v>
      </c>
      <c r="M543" s="507">
        <v>0</v>
      </c>
      <c r="N543" s="507">
        <v>0</v>
      </c>
      <c r="O543" s="506">
        <v>0</v>
      </c>
      <c r="P543" s="506">
        <v>0</v>
      </c>
      <c r="Q543" s="507">
        <v>0</v>
      </c>
      <c r="R543" s="507">
        <v>0</v>
      </c>
      <c r="S543" s="515">
        <v>0</v>
      </c>
      <c r="T543" s="506"/>
      <c r="U543" s="527"/>
    </row>
    <row r="544" spans="1:21">
      <c r="A544" s="479"/>
      <c r="B544" s="4" t="s">
        <v>85</v>
      </c>
      <c r="C544" s="506">
        <v>0</v>
      </c>
      <c r="D544" s="508">
        <v>0</v>
      </c>
      <c r="E544" s="508">
        <v>0</v>
      </c>
      <c r="F544" s="508">
        <v>0</v>
      </c>
      <c r="G544" s="508">
        <v>0</v>
      </c>
      <c r="H544" s="508">
        <v>0</v>
      </c>
      <c r="I544" s="508">
        <v>0</v>
      </c>
      <c r="J544" s="509">
        <v>0</v>
      </c>
      <c r="K544" s="506">
        <v>0</v>
      </c>
      <c r="L544" s="507">
        <v>0</v>
      </c>
      <c r="M544" s="507">
        <v>0</v>
      </c>
      <c r="N544" s="507">
        <v>0</v>
      </c>
      <c r="O544" s="506">
        <v>0</v>
      </c>
      <c r="P544" s="506">
        <v>0</v>
      </c>
      <c r="Q544" s="507">
        <v>0</v>
      </c>
      <c r="R544" s="507">
        <v>0</v>
      </c>
      <c r="S544" s="515">
        <v>0</v>
      </c>
      <c r="T544" s="506"/>
      <c r="U544" s="527"/>
    </row>
    <row r="545" spans="1:21" ht="13.5" thickBot="1">
      <c r="A545" s="502"/>
      <c r="B545" s="4" t="s">
        <v>109</v>
      </c>
      <c r="C545" s="506">
        <v>0</v>
      </c>
      <c r="D545" s="508">
        <v>0</v>
      </c>
      <c r="E545" s="508">
        <v>0</v>
      </c>
      <c r="F545" s="508">
        <v>0</v>
      </c>
      <c r="G545" s="508">
        <v>0</v>
      </c>
      <c r="H545" s="508">
        <v>0</v>
      </c>
      <c r="I545" s="508">
        <v>0</v>
      </c>
      <c r="J545" s="509">
        <v>0</v>
      </c>
      <c r="K545" s="506">
        <v>0</v>
      </c>
      <c r="L545" s="507">
        <v>0</v>
      </c>
      <c r="M545" s="507">
        <v>0</v>
      </c>
      <c r="N545" s="507">
        <v>0</v>
      </c>
      <c r="O545" s="506">
        <v>0</v>
      </c>
      <c r="P545" s="506">
        <v>0</v>
      </c>
      <c r="Q545" s="507">
        <v>0</v>
      </c>
      <c r="R545" s="507">
        <v>0</v>
      </c>
      <c r="S545" s="515">
        <v>0</v>
      </c>
      <c r="T545" s="510"/>
      <c r="U545" s="528"/>
    </row>
    <row r="546" spans="1:21">
      <c r="A546" s="478" t="s">
        <v>199</v>
      </c>
      <c r="B546" s="3" t="s">
        <v>39</v>
      </c>
      <c r="C546" s="463">
        <v>0.95199206963808891</v>
      </c>
      <c r="D546" s="464">
        <v>0</v>
      </c>
      <c r="E546" s="464">
        <v>0.84958111195734953</v>
      </c>
      <c r="F546" s="464">
        <v>0</v>
      </c>
      <c r="G546" s="464">
        <v>0</v>
      </c>
      <c r="H546" s="464">
        <v>0.88610140632693812</v>
      </c>
      <c r="I546" s="464">
        <v>0</v>
      </c>
      <c r="J546" s="466">
        <v>0.90814390571953907</v>
      </c>
      <c r="K546" s="463">
        <v>0.64304424610935296</v>
      </c>
      <c r="L546" s="464">
        <v>0</v>
      </c>
      <c r="M546" s="638">
        <v>0.54999102817154133</v>
      </c>
      <c r="N546" s="620">
        <v>0.84012187861170451</v>
      </c>
      <c r="O546" s="463">
        <v>0.64566088750800466</v>
      </c>
      <c r="P546" s="463">
        <v>0</v>
      </c>
      <c r="Q546" s="464">
        <v>0</v>
      </c>
      <c r="R546" s="464">
        <v>0</v>
      </c>
      <c r="S546" s="516">
        <v>0</v>
      </c>
      <c r="T546" s="536"/>
      <c r="U546" s="542"/>
    </row>
    <row r="547" spans="1:21">
      <c r="A547" s="479"/>
      <c r="B547" s="4" t="s">
        <v>41</v>
      </c>
      <c r="C547" s="506">
        <v>0.9485887651400231</v>
      </c>
      <c r="D547" s="508">
        <v>0</v>
      </c>
      <c r="E547" s="508">
        <v>0.83339798600335668</v>
      </c>
      <c r="F547" s="508">
        <v>0</v>
      </c>
      <c r="G547" s="508">
        <v>0</v>
      </c>
      <c r="H547" s="508">
        <v>0.87282096594750647</v>
      </c>
      <c r="I547" s="508">
        <v>0</v>
      </c>
      <c r="J547" s="509">
        <v>0.89923231262799108</v>
      </c>
      <c r="K547" s="506">
        <v>0.63665957775428006</v>
      </c>
      <c r="L547" s="507">
        <v>0</v>
      </c>
      <c r="M547" s="632">
        <v>0.53118998506294901</v>
      </c>
      <c r="N547" s="622">
        <v>0.69841890104605031</v>
      </c>
      <c r="O547" s="506">
        <v>0.61433844063268328</v>
      </c>
      <c r="P547" s="506">
        <v>0</v>
      </c>
      <c r="Q547" s="507">
        <v>0</v>
      </c>
      <c r="R547" s="507">
        <v>0</v>
      </c>
      <c r="S547" s="515">
        <v>0</v>
      </c>
      <c r="T547" s="543"/>
      <c r="U547" s="550"/>
    </row>
    <row r="548" spans="1:21" ht="13.5" thickBot="1">
      <c r="A548" s="479"/>
      <c r="B548" s="505" t="s">
        <v>87</v>
      </c>
      <c r="C548" s="510">
        <v>-0.34033044980658067</v>
      </c>
      <c r="D548" s="512">
        <v>0</v>
      </c>
      <c r="E548" s="512">
        <v>-1.618312595399285</v>
      </c>
      <c r="F548" s="512">
        <v>0</v>
      </c>
      <c r="G548" s="512">
        <v>0</v>
      </c>
      <c r="H548" s="512">
        <v>-1.3280440379431657</v>
      </c>
      <c r="I548" s="512">
        <v>0</v>
      </c>
      <c r="J548" s="514">
        <v>-0.89115930915479868</v>
      </c>
      <c r="K548" s="510">
        <v>-0.63846683550728978</v>
      </c>
      <c r="L548" s="511">
        <v>0</v>
      </c>
      <c r="M548" s="529">
        <v>-1.8801043108592319</v>
      </c>
      <c r="N548" s="730">
        <v>-14.17029775656542</v>
      </c>
      <c r="O548" s="510">
        <v>-3.1322446875321375</v>
      </c>
      <c r="P548" s="510">
        <v>0</v>
      </c>
      <c r="Q548" s="511">
        <v>0</v>
      </c>
      <c r="R548" s="511">
        <v>0</v>
      </c>
      <c r="S548" s="517">
        <v>0</v>
      </c>
      <c r="T548" s="510"/>
      <c r="U548" s="528"/>
    </row>
    <row r="549" spans="1:21">
      <c r="A549" s="479"/>
      <c r="B549" s="4" t="s">
        <v>43</v>
      </c>
      <c r="C549" s="506">
        <v>1.7608745248370067E-3</v>
      </c>
      <c r="D549" s="508">
        <v>0</v>
      </c>
      <c r="E549" s="508">
        <v>4.8774422183191633E-2</v>
      </c>
      <c r="F549" s="508">
        <v>0</v>
      </c>
      <c r="G549" s="508">
        <v>0</v>
      </c>
      <c r="H549" s="618">
        <v>6.0930011922304808E-2</v>
      </c>
      <c r="I549" s="508">
        <v>0</v>
      </c>
      <c r="J549" s="509">
        <v>3.3070257825154145E-2</v>
      </c>
      <c r="K549" s="506">
        <v>0.18716590216785786</v>
      </c>
      <c r="L549" s="507">
        <v>0</v>
      </c>
      <c r="M549" s="632">
        <v>0.37905975237753453</v>
      </c>
      <c r="N549" s="622">
        <v>0</v>
      </c>
      <c r="O549" s="506">
        <v>0.21888859900860944</v>
      </c>
      <c r="P549" s="506">
        <v>0</v>
      </c>
      <c r="Q549" s="507">
        <v>0</v>
      </c>
      <c r="R549" s="507">
        <v>0</v>
      </c>
      <c r="S549" s="515">
        <v>0</v>
      </c>
      <c r="T549" s="536"/>
      <c r="U549" s="542"/>
    </row>
    <row r="550" spans="1:21">
      <c r="A550" s="479"/>
      <c r="B550" s="4" t="s">
        <v>45</v>
      </c>
      <c r="C550" s="506">
        <v>1.8140518278065535E-3</v>
      </c>
      <c r="D550" s="508">
        <v>0</v>
      </c>
      <c r="E550" s="508">
        <v>4.8263877893536845E-2</v>
      </c>
      <c r="F550" s="508">
        <v>0</v>
      </c>
      <c r="G550" s="508">
        <v>0</v>
      </c>
      <c r="H550" s="614">
        <v>6.4840684126365192E-2</v>
      </c>
      <c r="I550" s="508">
        <v>0</v>
      </c>
      <c r="J550" s="509">
        <v>3.4256192781735743E-2</v>
      </c>
      <c r="K550" s="506">
        <v>0.15623329254238497</v>
      </c>
      <c r="L550" s="507">
        <v>0</v>
      </c>
      <c r="M550" s="632">
        <v>0.37392417668397465</v>
      </c>
      <c r="N550" s="622">
        <v>0.15354094024287604</v>
      </c>
      <c r="O550" s="506">
        <v>0.22620672182780283</v>
      </c>
      <c r="P550" s="506">
        <v>0</v>
      </c>
      <c r="Q550" s="507">
        <v>0</v>
      </c>
      <c r="R550" s="507">
        <v>0</v>
      </c>
      <c r="S550" s="515">
        <v>0</v>
      </c>
      <c r="T550" s="543"/>
      <c r="U550" s="550"/>
    </row>
    <row r="551" spans="1:21" ht="13.5" thickBot="1">
      <c r="A551" s="479"/>
      <c r="B551" s="4" t="s">
        <v>95</v>
      </c>
      <c r="C551" s="506">
        <v>5.3177302969546758E-3</v>
      </c>
      <c r="D551" s="508">
        <v>0</v>
      </c>
      <c r="E551" s="508">
        <v>-5.1054428965478793E-2</v>
      </c>
      <c r="F551" s="508">
        <v>0</v>
      </c>
      <c r="G551" s="508">
        <v>0</v>
      </c>
      <c r="H551" s="619">
        <v>0.39106722040603836</v>
      </c>
      <c r="I551" s="508">
        <v>0</v>
      </c>
      <c r="J551" s="509">
        <v>0.11859349565815983</v>
      </c>
      <c r="K551" s="506">
        <v>-3.0932609625472898</v>
      </c>
      <c r="L551" s="507">
        <v>0</v>
      </c>
      <c r="M551" s="633">
        <v>-0.51355756935598795</v>
      </c>
      <c r="N551" s="622">
        <v>0</v>
      </c>
      <c r="O551" s="506">
        <v>0.731812281919339</v>
      </c>
      <c r="P551" s="506">
        <v>0</v>
      </c>
      <c r="Q551" s="507">
        <v>0</v>
      </c>
      <c r="R551" s="507">
        <v>0</v>
      </c>
      <c r="S551" s="515">
        <v>0</v>
      </c>
      <c r="T551" s="510"/>
      <c r="U551" s="528"/>
    </row>
    <row r="552" spans="1:21">
      <c r="A552" s="479"/>
      <c r="B552" s="4" t="s">
        <v>49</v>
      </c>
      <c r="C552" s="506">
        <v>4.3126966122445043E-2</v>
      </c>
      <c r="D552" s="508">
        <v>0</v>
      </c>
      <c r="E552" s="508">
        <v>0.10164446585945879</v>
      </c>
      <c r="F552" s="508">
        <v>0</v>
      </c>
      <c r="G552" s="508">
        <v>0</v>
      </c>
      <c r="H552" s="508">
        <v>5.0423593537786131E-2</v>
      </c>
      <c r="I552" s="508">
        <v>0</v>
      </c>
      <c r="J552" s="509">
        <v>5.6447929805625338E-2</v>
      </c>
      <c r="K552" s="506">
        <v>0.16890089961952851</v>
      </c>
      <c r="L552" s="507">
        <v>0</v>
      </c>
      <c r="M552" s="614">
        <v>7.0949219450924098E-2</v>
      </c>
      <c r="N552" s="622">
        <v>0.15840717262634399</v>
      </c>
      <c r="O552" s="506">
        <v>0.13475677726916965</v>
      </c>
      <c r="P552" s="506">
        <v>0</v>
      </c>
      <c r="Q552" s="507">
        <v>0</v>
      </c>
      <c r="R552" s="507">
        <v>0</v>
      </c>
      <c r="S552" s="515">
        <v>0</v>
      </c>
      <c r="T552" s="536"/>
      <c r="U552" s="542"/>
    </row>
    <row r="553" spans="1:21">
      <c r="A553" s="479"/>
      <c r="B553" s="4" t="s">
        <v>51</v>
      </c>
      <c r="C553" s="506">
        <v>4.5459761532355043E-2</v>
      </c>
      <c r="D553" s="508">
        <v>0</v>
      </c>
      <c r="E553" s="508">
        <v>0.11806501155831407</v>
      </c>
      <c r="F553" s="508">
        <v>0</v>
      </c>
      <c r="G553" s="508">
        <v>0</v>
      </c>
      <c r="H553" s="508">
        <v>5.7793366936277228E-2</v>
      </c>
      <c r="I553" s="508">
        <v>0</v>
      </c>
      <c r="J553" s="509">
        <v>6.2890966291514E-2</v>
      </c>
      <c r="K553" s="506">
        <v>0.19387185305753901</v>
      </c>
      <c r="L553" s="507">
        <v>0</v>
      </c>
      <c r="M553" s="614">
        <v>9.4885838253076324E-2</v>
      </c>
      <c r="N553" s="622">
        <v>0.1480401587110737</v>
      </c>
      <c r="O553" s="506">
        <v>0.15304048412821797</v>
      </c>
      <c r="P553" s="506">
        <v>0</v>
      </c>
      <c r="Q553" s="507">
        <v>0</v>
      </c>
      <c r="R553" s="507">
        <v>0</v>
      </c>
      <c r="S553" s="515">
        <v>0</v>
      </c>
      <c r="T553" s="543"/>
      <c r="U553" s="550"/>
    </row>
    <row r="554" spans="1:21" ht="13.5" thickBot="1">
      <c r="A554" s="479"/>
      <c r="B554" s="4" t="s">
        <v>97</v>
      </c>
      <c r="C554" s="506">
        <v>0.23327954099100004</v>
      </c>
      <c r="D554" s="508">
        <v>0</v>
      </c>
      <c r="E554" s="508">
        <v>1.6420545698855289</v>
      </c>
      <c r="F554" s="508">
        <v>0</v>
      </c>
      <c r="G554" s="508">
        <v>0</v>
      </c>
      <c r="H554" s="508">
        <v>0.73697733984910974</v>
      </c>
      <c r="I554" s="508">
        <v>0</v>
      </c>
      <c r="J554" s="509">
        <v>0.64430364858886624</v>
      </c>
      <c r="K554" s="506">
        <v>2.4970953438010506</v>
      </c>
      <c r="L554" s="507">
        <v>0</v>
      </c>
      <c r="M554" s="619">
        <v>2.3936618802152227</v>
      </c>
      <c r="N554" s="625">
        <v>-1.0367013915270284</v>
      </c>
      <c r="O554" s="506">
        <v>1.8283706859048316</v>
      </c>
      <c r="P554" s="506">
        <v>0</v>
      </c>
      <c r="Q554" s="507">
        <v>0</v>
      </c>
      <c r="R554" s="507">
        <v>0</v>
      </c>
      <c r="S554" s="515">
        <v>0</v>
      </c>
      <c r="T554" s="510"/>
      <c r="U554" s="528"/>
    </row>
    <row r="555" spans="1:21">
      <c r="A555" s="479"/>
      <c r="B555" s="4" t="s">
        <v>53</v>
      </c>
      <c r="C555" s="506">
        <v>0</v>
      </c>
      <c r="D555" s="508">
        <v>0</v>
      </c>
      <c r="E555" s="508">
        <v>0</v>
      </c>
      <c r="F555" s="508">
        <v>0</v>
      </c>
      <c r="G555" s="508">
        <v>0</v>
      </c>
      <c r="H555" s="508">
        <v>1.944363780001912E-3</v>
      </c>
      <c r="I555" s="508">
        <v>0</v>
      </c>
      <c r="J555" s="509">
        <v>7.5164430908339136E-4</v>
      </c>
      <c r="K555" s="506">
        <v>0</v>
      </c>
      <c r="L555" s="507">
        <v>0</v>
      </c>
      <c r="M555" s="507">
        <v>0</v>
      </c>
      <c r="N555" s="507">
        <v>0</v>
      </c>
      <c r="O555" s="506">
        <v>0</v>
      </c>
      <c r="P555" s="506">
        <v>0</v>
      </c>
      <c r="Q555" s="507">
        <v>0</v>
      </c>
      <c r="R555" s="507">
        <v>0</v>
      </c>
      <c r="S555" s="515">
        <v>0</v>
      </c>
      <c r="T555" s="536"/>
      <c r="U555" s="542"/>
    </row>
    <row r="556" spans="1:21">
      <c r="A556" s="479"/>
      <c r="B556" s="4" t="s">
        <v>55</v>
      </c>
      <c r="C556" s="506">
        <v>1.3676127298021677E-4</v>
      </c>
      <c r="D556" s="508">
        <v>0</v>
      </c>
      <c r="E556" s="508">
        <v>2.7312454479242533E-4</v>
      </c>
      <c r="F556" s="508">
        <v>0</v>
      </c>
      <c r="G556" s="508">
        <v>0</v>
      </c>
      <c r="H556" s="508">
        <v>4.1425346731583067E-3</v>
      </c>
      <c r="I556" s="508">
        <v>0</v>
      </c>
      <c r="J556" s="509">
        <v>1.707353291593426E-3</v>
      </c>
      <c r="K556" s="506">
        <v>0</v>
      </c>
      <c r="L556" s="507">
        <v>0</v>
      </c>
      <c r="M556" s="507">
        <v>0</v>
      </c>
      <c r="N556" s="507">
        <v>0</v>
      </c>
      <c r="O556" s="506">
        <v>0</v>
      </c>
      <c r="P556" s="506">
        <v>0</v>
      </c>
      <c r="Q556" s="507">
        <v>0</v>
      </c>
      <c r="R556" s="507">
        <v>0</v>
      </c>
      <c r="S556" s="515">
        <v>0</v>
      </c>
      <c r="T556" s="543"/>
      <c r="U556" s="550"/>
    </row>
    <row r="557" spans="1:21">
      <c r="A557" s="479"/>
      <c r="B557" s="4" t="s">
        <v>103</v>
      </c>
      <c r="C557" s="506">
        <v>0</v>
      </c>
      <c r="D557" s="508">
        <v>0</v>
      </c>
      <c r="E557" s="508">
        <v>0</v>
      </c>
      <c r="F557" s="508">
        <v>0</v>
      </c>
      <c r="G557" s="508">
        <v>0</v>
      </c>
      <c r="H557" s="508">
        <v>0.21981708931563945</v>
      </c>
      <c r="I557" s="508">
        <v>0</v>
      </c>
      <c r="J557" s="509">
        <v>9.5570898251003469E-2</v>
      </c>
      <c r="K557" s="506">
        <v>0</v>
      </c>
      <c r="L557" s="507">
        <v>0</v>
      </c>
      <c r="M557" s="507">
        <v>0</v>
      </c>
      <c r="N557" s="507">
        <v>0</v>
      </c>
      <c r="O557" s="506">
        <v>0</v>
      </c>
      <c r="P557" s="506">
        <v>0</v>
      </c>
      <c r="Q557" s="507">
        <v>0</v>
      </c>
      <c r="R557" s="507">
        <v>0</v>
      </c>
      <c r="S557" s="515">
        <v>0</v>
      </c>
      <c r="T557" s="510"/>
      <c r="U557" s="528"/>
    </row>
    <row r="558" spans="1:21">
      <c r="A558" s="479"/>
      <c r="B558" s="4" t="s">
        <v>57</v>
      </c>
      <c r="C558" s="506">
        <v>3.0461843969808071E-3</v>
      </c>
      <c r="D558" s="508">
        <v>0</v>
      </c>
      <c r="E558" s="508">
        <v>0</v>
      </c>
      <c r="F558" s="508">
        <v>0</v>
      </c>
      <c r="G558" s="508">
        <v>0</v>
      </c>
      <c r="H558" s="508">
        <v>6.0062443296905071E-4</v>
      </c>
      <c r="I558" s="508">
        <v>0</v>
      </c>
      <c r="J558" s="509">
        <v>1.5541884647002591E-3</v>
      </c>
      <c r="K558" s="506">
        <v>8.889521032606763E-4</v>
      </c>
      <c r="L558" s="507">
        <v>0</v>
      </c>
      <c r="M558" s="507">
        <v>0</v>
      </c>
      <c r="N558" s="507">
        <v>1.4709487619514587E-3</v>
      </c>
      <c r="O558" s="506">
        <v>6.9373621421625598E-4</v>
      </c>
      <c r="P558" s="506">
        <v>0</v>
      </c>
      <c r="Q558" s="507">
        <v>0</v>
      </c>
      <c r="R558" s="507">
        <v>0</v>
      </c>
      <c r="S558" s="515">
        <v>0</v>
      </c>
      <c r="T558" s="536"/>
      <c r="U558" s="542"/>
    </row>
    <row r="559" spans="1:21">
      <c r="A559" s="479"/>
      <c r="B559" s="4" t="s">
        <v>59</v>
      </c>
      <c r="C559" s="506">
        <v>3.9865125089405713E-3</v>
      </c>
      <c r="D559" s="508">
        <v>0</v>
      </c>
      <c r="E559" s="508">
        <v>0</v>
      </c>
      <c r="F559" s="508">
        <v>0</v>
      </c>
      <c r="G559" s="508">
        <v>0</v>
      </c>
      <c r="H559" s="508">
        <v>4.024483166928407E-4</v>
      </c>
      <c r="I559" s="508">
        <v>0</v>
      </c>
      <c r="J559" s="509">
        <v>1.9069589150847287E-3</v>
      </c>
      <c r="K559" s="506">
        <v>1.3235276645795957E-2</v>
      </c>
      <c r="L559" s="507">
        <v>0</v>
      </c>
      <c r="M559" s="507">
        <v>0</v>
      </c>
      <c r="N559" s="507">
        <v>0</v>
      </c>
      <c r="O559" s="506">
        <v>6.4143534112959411E-3</v>
      </c>
      <c r="P559" s="506">
        <v>0</v>
      </c>
      <c r="Q559" s="507">
        <v>0</v>
      </c>
      <c r="R559" s="507">
        <v>0</v>
      </c>
      <c r="S559" s="515">
        <v>0</v>
      </c>
      <c r="T559" s="543"/>
      <c r="U559" s="550"/>
    </row>
    <row r="560" spans="1:21">
      <c r="A560" s="479"/>
      <c r="B560" s="4" t="s">
        <v>105</v>
      </c>
      <c r="C560" s="506">
        <v>9.4032811195976423E-2</v>
      </c>
      <c r="D560" s="508">
        <v>0</v>
      </c>
      <c r="E560" s="508">
        <v>0</v>
      </c>
      <c r="F560" s="508">
        <v>0</v>
      </c>
      <c r="G560" s="508">
        <v>0</v>
      </c>
      <c r="H560" s="508">
        <v>-1.9817611627621003E-2</v>
      </c>
      <c r="I560" s="508">
        <v>0</v>
      </c>
      <c r="J560" s="509">
        <v>3.5277045038446961E-2</v>
      </c>
      <c r="K560" s="506">
        <v>1.2346324542535281</v>
      </c>
      <c r="L560" s="507">
        <v>0</v>
      </c>
      <c r="M560" s="507">
        <v>0</v>
      </c>
      <c r="N560" s="507">
        <v>-0.14709487619514586</v>
      </c>
      <c r="O560" s="506">
        <v>0.57206171970796849</v>
      </c>
      <c r="P560" s="506">
        <v>0</v>
      </c>
      <c r="Q560" s="507">
        <v>0</v>
      </c>
      <c r="R560" s="507">
        <v>0</v>
      </c>
      <c r="S560" s="515">
        <v>0</v>
      </c>
      <c r="T560" s="510"/>
      <c r="U560" s="528"/>
    </row>
    <row r="561" spans="1:21">
      <c r="A561" s="479"/>
      <c r="B561" s="4" t="s">
        <v>61</v>
      </c>
      <c r="C561" s="506">
        <v>7.3905317648268533E-5</v>
      </c>
      <c r="D561" s="508">
        <v>0</v>
      </c>
      <c r="E561" s="508">
        <v>0</v>
      </c>
      <c r="F561" s="508">
        <v>0</v>
      </c>
      <c r="G561" s="508">
        <v>0</v>
      </c>
      <c r="H561" s="508">
        <v>0</v>
      </c>
      <c r="I561" s="508">
        <v>0</v>
      </c>
      <c r="J561" s="509">
        <v>3.2073875897807053E-5</v>
      </c>
      <c r="K561" s="506">
        <v>0</v>
      </c>
      <c r="L561" s="507">
        <v>0</v>
      </c>
      <c r="M561" s="507">
        <v>0</v>
      </c>
      <c r="N561" s="507">
        <v>0</v>
      </c>
      <c r="O561" s="506">
        <v>0</v>
      </c>
      <c r="P561" s="506">
        <v>0</v>
      </c>
      <c r="Q561" s="507">
        <v>0</v>
      </c>
      <c r="R561" s="507">
        <v>0</v>
      </c>
      <c r="S561" s="515">
        <v>0</v>
      </c>
      <c r="T561" s="536"/>
      <c r="U561" s="542"/>
    </row>
    <row r="562" spans="1:21">
      <c r="A562" s="479"/>
      <c r="B562" s="4" t="s">
        <v>63</v>
      </c>
      <c r="C562" s="506">
        <v>1.4147717894505183E-5</v>
      </c>
      <c r="D562" s="508">
        <v>0</v>
      </c>
      <c r="E562" s="508">
        <v>0</v>
      </c>
      <c r="F562" s="508">
        <v>0</v>
      </c>
      <c r="G562" s="508">
        <v>0</v>
      </c>
      <c r="H562" s="508">
        <v>0</v>
      </c>
      <c r="I562" s="508">
        <v>0</v>
      </c>
      <c r="J562" s="509">
        <v>6.2160920810440271E-6</v>
      </c>
      <c r="K562" s="506">
        <v>0</v>
      </c>
      <c r="L562" s="507">
        <v>0</v>
      </c>
      <c r="M562" s="507">
        <v>0</v>
      </c>
      <c r="N562" s="507">
        <v>0</v>
      </c>
      <c r="O562" s="506">
        <v>0</v>
      </c>
      <c r="P562" s="506">
        <v>0</v>
      </c>
      <c r="Q562" s="507">
        <v>0</v>
      </c>
      <c r="R562" s="507">
        <v>0</v>
      </c>
      <c r="S562" s="515">
        <v>0</v>
      </c>
      <c r="T562" s="543"/>
      <c r="U562" s="550"/>
    </row>
    <row r="563" spans="1:21" ht="13.5" thickBot="1">
      <c r="A563" s="479"/>
      <c r="B563" s="4" t="s">
        <v>91</v>
      </c>
      <c r="C563" s="506">
        <v>-5.975759975376335E-3</v>
      </c>
      <c r="D563" s="508">
        <v>0</v>
      </c>
      <c r="E563" s="508">
        <v>0</v>
      </c>
      <c r="F563" s="508">
        <v>0</v>
      </c>
      <c r="G563" s="508">
        <v>0</v>
      </c>
      <c r="H563" s="508">
        <v>0</v>
      </c>
      <c r="I563" s="508">
        <v>0</v>
      </c>
      <c r="J563" s="509">
        <v>-2.5857783816763029E-3</v>
      </c>
      <c r="K563" s="506">
        <v>0</v>
      </c>
      <c r="L563" s="507">
        <v>0</v>
      </c>
      <c r="M563" s="507">
        <v>0</v>
      </c>
      <c r="N563" s="507">
        <v>0</v>
      </c>
      <c r="O563" s="506">
        <v>0</v>
      </c>
      <c r="P563" s="506">
        <v>0</v>
      </c>
      <c r="Q563" s="507">
        <v>0</v>
      </c>
      <c r="R563" s="507">
        <v>0</v>
      </c>
      <c r="S563" s="515">
        <v>0</v>
      </c>
      <c r="T563" s="510"/>
      <c r="U563" s="528"/>
    </row>
    <row r="564" spans="1:21">
      <c r="A564" s="479"/>
      <c r="B564" s="4" t="s">
        <v>47</v>
      </c>
      <c r="C564" s="631">
        <v>0.69703622392974751</v>
      </c>
      <c r="D564" s="508">
        <v>0</v>
      </c>
      <c r="E564" s="508">
        <v>0.28615346992960577</v>
      </c>
      <c r="F564" s="508">
        <v>0</v>
      </c>
      <c r="G564" s="508">
        <v>0</v>
      </c>
      <c r="H564" s="631">
        <v>0.48241838983940383</v>
      </c>
      <c r="I564" s="508">
        <v>0</v>
      </c>
      <c r="J564" s="509">
        <v>0.55333355815600449</v>
      </c>
      <c r="K564" s="506">
        <v>0</v>
      </c>
      <c r="L564" s="507">
        <v>0</v>
      </c>
      <c r="M564" s="618">
        <v>0</v>
      </c>
      <c r="N564" s="507">
        <v>0</v>
      </c>
      <c r="O564" s="506">
        <v>0</v>
      </c>
      <c r="P564" s="506">
        <v>0</v>
      </c>
      <c r="Q564" s="507">
        <v>0</v>
      </c>
      <c r="R564" s="507">
        <v>0</v>
      </c>
      <c r="S564" s="515">
        <v>0</v>
      </c>
      <c r="T564" s="536"/>
      <c r="U564" s="542"/>
    </row>
    <row r="565" spans="1:21">
      <c r="A565" s="479"/>
      <c r="B565" s="4" t="s">
        <v>65</v>
      </c>
      <c r="C565" s="632">
        <v>0.67339358784117986</v>
      </c>
      <c r="D565" s="508">
        <v>0</v>
      </c>
      <c r="E565" s="508">
        <v>0.33430651799219108</v>
      </c>
      <c r="F565" s="508">
        <v>0</v>
      </c>
      <c r="G565" s="508">
        <v>0</v>
      </c>
      <c r="H565" s="632">
        <v>0.47229866079618421</v>
      </c>
      <c r="I565" s="508">
        <v>0</v>
      </c>
      <c r="J565" s="509">
        <v>0.55340728116006821</v>
      </c>
      <c r="K565" s="506">
        <v>0</v>
      </c>
      <c r="L565" s="507">
        <v>0</v>
      </c>
      <c r="M565" s="614">
        <v>0</v>
      </c>
      <c r="N565" s="507">
        <v>0</v>
      </c>
      <c r="O565" s="506">
        <v>0</v>
      </c>
      <c r="P565" s="506">
        <v>0</v>
      </c>
      <c r="Q565" s="507">
        <v>0</v>
      </c>
      <c r="R565" s="507">
        <v>0</v>
      </c>
      <c r="S565" s="515">
        <v>0</v>
      </c>
      <c r="T565" s="543"/>
      <c r="U565" s="550"/>
    </row>
    <row r="566" spans="1:21">
      <c r="A566" s="479"/>
      <c r="B566" s="4" t="s">
        <v>89</v>
      </c>
      <c r="C566" s="633">
        <v>-2.3642636088567648</v>
      </c>
      <c r="D566" s="508">
        <v>0</v>
      </c>
      <c r="E566" s="508">
        <v>4.8153048062585304</v>
      </c>
      <c r="F566" s="508">
        <v>0</v>
      </c>
      <c r="G566" s="508">
        <v>0</v>
      </c>
      <c r="H566" s="633">
        <v>-1.0119729043219616</v>
      </c>
      <c r="I566" s="508">
        <v>0</v>
      </c>
      <c r="J566" s="509">
        <v>7.3723004063719344E-3</v>
      </c>
      <c r="K566" s="506">
        <v>0</v>
      </c>
      <c r="L566" s="507">
        <v>0</v>
      </c>
      <c r="M566" s="614">
        <v>0</v>
      </c>
      <c r="N566" s="507">
        <v>0</v>
      </c>
      <c r="O566" s="506">
        <v>0</v>
      </c>
      <c r="P566" s="506">
        <v>0</v>
      </c>
      <c r="Q566" s="507">
        <v>0</v>
      </c>
      <c r="R566" s="507">
        <v>0</v>
      </c>
      <c r="S566" s="515">
        <v>0</v>
      </c>
      <c r="T566" s="510"/>
      <c r="U566" s="528"/>
    </row>
    <row r="567" spans="1:21">
      <c r="A567" s="479"/>
      <c r="B567" s="4" t="s">
        <v>67</v>
      </c>
      <c r="C567" s="506">
        <v>0.1244803944503428</v>
      </c>
      <c r="D567" s="508">
        <v>0</v>
      </c>
      <c r="E567" s="631">
        <v>0.4757463012454366</v>
      </c>
      <c r="F567" s="508">
        <v>0</v>
      </c>
      <c r="G567" s="508">
        <v>0</v>
      </c>
      <c r="H567" s="508">
        <v>3.4638396137294004E-3</v>
      </c>
      <c r="I567" s="508">
        <v>0</v>
      </c>
      <c r="J567" s="509">
        <v>0.23102777684101664</v>
      </c>
      <c r="K567" s="506">
        <v>0</v>
      </c>
      <c r="L567" s="507">
        <v>0</v>
      </c>
      <c r="M567" s="614">
        <v>0</v>
      </c>
      <c r="N567" s="507">
        <v>0</v>
      </c>
      <c r="O567" s="506">
        <v>0</v>
      </c>
      <c r="P567" s="506">
        <v>0</v>
      </c>
      <c r="Q567" s="507">
        <v>0</v>
      </c>
      <c r="R567" s="507">
        <v>0</v>
      </c>
      <c r="S567" s="515">
        <v>0</v>
      </c>
      <c r="T567" s="536"/>
      <c r="U567" s="542"/>
    </row>
    <row r="568" spans="1:21">
      <c r="A568" s="479"/>
      <c r="B568" s="4" t="s">
        <v>69</v>
      </c>
      <c r="C568" s="506">
        <v>0.11620126804262781</v>
      </c>
      <c r="D568" s="508">
        <v>0</v>
      </c>
      <c r="E568" s="632">
        <v>0.42906890850891694</v>
      </c>
      <c r="F568" s="508">
        <v>0</v>
      </c>
      <c r="G568" s="508">
        <v>0</v>
      </c>
      <c r="H568" s="508">
        <v>3.852504127682994E-3</v>
      </c>
      <c r="I568" s="508">
        <v>0</v>
      </c>
      <c r="J568" s="509">
        <v>0.20876197926853118</v>
      </c>
      <c r="K568" s="506">
        <v>0</v>
      </c>
      <c r="L568" s="507">
        <v>0</v>
      </c>
      <c r="M568" s="614">
        <v>0</v>
      </c>
      <c r="N568" s="507">
        <v>0</v>
      </c>
      <c r="O568" s="506">
        <v>0</v>
      </c>
      <c r="P568" s="506">
        <v>0</v>
      </c>
      <c r="Q568" s="507">
        <v>0</v>
      </c>
      <c r="R568" s="507">
        <v>0</v>
      </c>
      <c r="S568" s="515">
        <v>0</v>
      </c>
      <c r="T568" s="543"/>
      <c r="U568" s="550"/>
    </row>
    <row r="569" spans="1:21">
      <c r="A569" s="479"/>
      <c r="B569" s="4" t="s">
        <v>93</v>
      </c>
      <c r="C569" s="506">
        <v>-0.82791264077149851</v>
      </c>
      <c r="D569" s="508">
        <v>0</v>
      </c>
      <c r="E569" s="633">
        <v>-4.6677392736519661</v>
      </c>
      <c r="F569" s="508">
        <v>0</v>
      </c>
      <c r="G569" s="508">
        <v>0</v>
      </c>
      <c r="H569" s="508">
        <v>3.886645139535936E-2</v>
      </c>
      <c r="I569" s="508">
        <v>0</v>
      </c>
      <c r="J569" s="509">
        <v>-2.2265797572485453</v>
      </c>
      <c r="K569" s="506">
        <v>0</v>
      </c>
      <c r="L569" s="507">
        <v>0</v>
      </c>
      <c r="M569" s="614">
        <v>0</v>
      </c>
      <c r="N569" s="507">
        <v>0</v>
      </c>
      <c r="O569" s="506">
        <v>0</v>
      </c>
      <c r="P569" s="506">
        <v>0</v>
      </c>
      <c r="Q569" s="507">
        <v>0</v>
      </c>
      <c r="R569" s="507">
        <v>0</v>
      </c>
      <c r="S569" s="515">
        <v>0</v>
      </c>
      <c r="T569" s="510"/>
      <c r="U569" s="528"/>
    </row>
    <row r="570" spans="1:21">
      <c r="A570" s="479"/>
      <c r="B570" s="4" t="s">
        <v>71</v>
      </c>
      <c r="C570" s="506">
        <v>0.1430242392614853</v>
      </c>
      <c r="D570" s="508">
        <v>0</v>
      </c>
      <c r="E570" s="632">
        <v>0.21567188946531818</v>
      </c>
      <c r="F570" s="508">
        <v>0</v>
      </c>
      <c r="G570" s="508">
        <v>0</v>
      </c>
      <c r="H570" s="631">
        <v>0.5141177705468668</v>
      </c>
      <c r="I570" s="508">
        <v>0</v>
      </c>
      <c r="J570" s="509">
        <v>0.18627120358816984</v>
      </c>
      <c r="K570" s="506">
        <v>0</v>
      </c>
      <c r="L570" s="507">
        <v>0</v>
      </c>
      <c r="M570" s="614">
        <v>0</v>
      </c>
      <c r="N570" s="507">
        <v>0</v>
      </c>
      <c r="O570" s="506">
        <v>0</v>
      </c>
      <c r="P570" s="506">
        <v>0</v>
      </c>
      <c r="Q570" s="507">
        <v>0</v>
      </c>
      <c r="R570" s="507">
        <v>0</v>
      </c>
      <c r="S570" s="515">
        <v>0</v>
      </c>
      <c r="T570" s="536"/>
      <c r="U570" s="542"/>
    </row>
    <row r="571" spans="1:21" ht="13.5" thickBot="1">
      <c r="A571" s="479"/>
      <c r="B571" s="4" t="s">
        <v>73</v>
      </c>
      <c r="C571" s="506">
        <v>0.1842888619092585</v>
      </c>
      <c r="D571" s="508">
        <v>0</v>
      </c>
      <c r="E571" s="632">
        <v>0.21488620774561187</v>
      </c>
      <c r="F571" s="508">
        <v>0</v>
      </c>
      <c r="G571" s="508">
        <v>0</v>
      </c>
      <c r="H571" s="632">
        <v>0.52384883507613278</v>
      </c>
      <c r="I571" s="508">
        <v>0</v>
      </c>
      <c r="J571" s="509">
        <v>0.21469643206392669</v>
      </c>
      <c r="K571" s="506">
        <v>0</v>
      </c>
      <c r="L571" s="507">
        <v>0</v>
      </c>
      <c r="M571" s="693">
        <v>0</v>
      </c>
      <c r="N571" s="507">
        <v>0</v>
      </c>
      <c r="O571" s="506">
        <v>0</v>
      </c>
      <c r="P571" s="506">
        <v>0</v>
      </c>
      <c r="Q571" s="507">
        <v>0</v>
      </c>
      <c r="R571" s="507">
        <v>0</v>
      </c>
      <c r="S571" s="515">
        <v>0</v>
      </c>
      <c r="T571" s="543"/>
      <c r="U571" s="550"/>
    </row>
    <row r="572" spans="1:21">
      <c r="A572" s="479"/>
      <c r="B572" s="4" t="s">
        <v>99</v>
      </c>
      <c r="C572" s="649">
        <v>4.1264622647773201</v>
      </c>
      <c r="D572" s="676">
        <v>0</v>
      </c>
      <c r="E572" s="651">
        <v>-7.8568171970630485E-2</v>
      </c>
      <c r="F572" s="676">
        <v>0</v>
      </c>
      <c r="G572" s="676">
        <v>0</v>
      </c>
      <c r="H572" s="651">
        <v>0.97310645292659759</v>
      </c>
      <c r="I572" s="676">
        <v>0</v>
      </c>
      <c r="J572" s="680">
        <v>2.842522847575685</v>
      </c>
      <c r="K572" s="649">
        <v>0</v>
      </c>
      <c r="L572" s="650">
        <v>0</v>
      </c>
      <c r="M572" s="650">
        <v>0</v>
      </c>
      <c r="N572" s="650">
        <v>0</v>
      </c>
      <c r="O572" s="649">
        <v>0</v>
      </c>
      <c r="P572" s="649">
        <v>0</v>
      </c>
      <c r="Q572" s="650">
        <v>0</v>
      </c>
      <c r="R572" s="650">
        <v>0</v>
      </c>
      <c r="S572" s="719">
        <v>0</v>
      </c>
      <c r="T572" s="510"/>
      <c r="U572" s="528"/>
    </row>
    <row r="573" spans="1:21">
      <c r="A573" s="479"/>
      <c r="B573" s="4" t="s">
        <v>75</v>
      </c>
      <c r="C573" s="506">
        <v>3.0771445538140398E-2</v>
      </c>
      <c r="D573" s="508">
        <v>0</v>
      </c>
      <c r="E573" s="508">
        <v>2.242833935963947E-2</v>
      </c>
      <c r="F573" s="508">
        <v>0</v>
      </c>
      <c r="G573" s="508">
        <v>0</v>
      </c>
      <c r="H573" s="508">
        <v>0</v>
      </c>
      <c r="I573" s="508">
        <v>0</v>
      </c>
      <c r="J573" s="509">
        <v>2.6439146123495093E-2</v>
      </c>
      <c r="K573" s="506">
        <v>0</v>
      </c>
      <c r="L573" s="507">
        <v>0</v>
      </c>
      <c r="M573" s="507">
        <v>0</v>
      </c>
      <c r="N573" s="507">
        <v>0</v>
      </c>
      <c r="O573" s="506">
        <v>0</v>
      </c>
      <c r="P573" s="506">
        <v>0</v>
      </c>
      <c r="Q573" s="507">
        <v>0</v>
      </c>
      <c r="R573" s="507">
        <v>0</v>
      </c>
      <c r="S573" s="515">
        <v>0</v>
      </c>
      <c r="T573" s="536"/>
      <c r="U573" s="542"/>
    </row>
    <row r="574" spans="1:21">
      <c r="A574" s="479"/>
      <c r="B574" s="4" t="s">
        <v>77</v>
      </c>
      <c r="C574" s="506">
        <v>2.0837267862763614E-2</v>
      </c>
      <c r="D574" s="508">
        <v>0</v>
      </c>
      <c r="E574" s="508">
        <v>2.1738365753280101E-2</v>
      </c>
      <c r="F574" s="508">
        <v>0</v>
      </c>
      <c r="G574" s="508">
        <v>0</v>
      </c>
      <c r="H574" s="508">
        <v>0</v>
      </c>
      <c r="I574" s="508">
        <v>0</v>
      </c>
      <c r="J574" s="509">
        <v>1.9854153278757228E-2</v>
      </c>
      <c r="K574" s="506">
        <v>0</v>
      </c>
      <c r="L574" s="507">
        <v>0</v>
      </c>
      <c r="M574" s="507">
        <v>0</v>
      </c>
      <c r="N574" s="507">
        <v>0</v>
      </c>
      <c r="O574" s="506">
        <v>0</v>
      </c>
      <c r="P574" s="506">
        <v>0</v>
      </c>
      <c r="Q574" s="507">
        <v>0</v>
      </c>
      <c r="R574" s="507">
        <v>0</v>
      </c>
      <c r="S574" s="515">
        <v>0</v>
      </c>
      <c r="T574" s="543"/>
      <c r="U574" s="550"/>
    </row>
    <row r="575" spans="1:21">
      <c r="A575" s="479"/>
      <c r="B575" s="4" t="s">
        <v>101</v>
      </c>
      <c r="C575" s="506">
        <v>-0.99341776753767852</v>
      </c>
      <c r="D575" s="508">
        <v>0</v>
      </c>
      <c r="E575" s="508">
        <v>-6.8997360635936894E-2</v>
      </c>
      <c r="F575" s="508">
        <v>0</v>
      </c>
      <c r="G575" s="508">
        <v>0</v>
      </c>
      <c r="H575" s="508">
        <v>0</v>
      </c>
      <c r="I575" s="508">
        <v>0</v>
      </c>
      <c r="J575" s="509">
        <v>-0.65849928447378647</v>
      </c>
      <c r="K575" s="506">
        <v>0</v>
      </c>
      <c r="L575" s="507">
        <v>0</v>
      </c>
      <c r="M575" s="507">
        <v>0</v>
      </c>
      <c r="N575" s="507">
        <v>0</v>
      </c>
      <c r="O575" s="506">
        <v>0</v>
      </c>
      <c r="P575" s="506">
        <v>0</v>
      </c>
      <c r="Q575" s="507">
        <v>0</v>
      </c>
      <c r="R575" s="507">
        <v>0</v>
      </c>
      <c r="S575" s="515">
        <v>0</v>
      </c>
      <c r="T575" s="510"/>
      <c r="U575" s="528"/>
    </row>
    <row r="576" spans="1:21">
      <c r="A576" s="479"/>
      <c r="B576" s="4" t="s">
        <v>79</v>
      </c>
      <c r="C576" s="506">
        <v>4.6876968202839613E-3</v>
      </c>
      <c r="D576" s="508">
        <v>0</v>
      </c>
      <c r="E576" s="508">
        <v>0</v>
      </c>
      <c r="F576" s="508">
        <v>0</v>
      </c>
      <c r="G576" s="508">
        <v>0</v>
      </c>
      <c r="H576" s="508">
        <v>0</v>
      </c>
      <c r="I576" s="508">
        <v>0</v>
      </c>
      <c r="J576" s="509">
        <v>2.9283152913139759E-3</v>
      </c>
      <c r="K576" s="506">
        <v>0</v>
      </c>
      <c r="L576" s="507">
        <v>0</v>
      </c>
      <c r="M576" s="507">
        <v>0</v>
      </c>
      <c r="N576" s="507">
        <v>0</v>
      </c>
      <c r="O576" s="506">
        <v>0</v>
      </c>
      <c r="P576" s="506">
        <v>0</v>
      </c>
      <c r="Q576" s="507">
        <v>0</v>
      </c>
      <c r="R576" s="507">
        <v>0</v>
      </c>
      <c r="S576" s="515">
        <v>0</v>
      </c>
      <c r="T576" s="536"/>
      <c r="U576" s="542"/>
    </row>
    <row r="577" spans="1:21">
      <c r="A577" s="479"/>
      <c r="B577" s="4" t="s">
        <v>81</v>
      </c>
      <c r="C577" s="617">
        <v>5.2790143441701519E-3</v>
      </c>
      <c r="D577" s="508">
        <v>0</v>
      </c>
      <c r="E577" s="508">
        <v>0</v>
      </c>
      <c r="F577" s="508">
        <v>0</v>
      </c>
      <c r="G577" s="508">
        <v>0</v>
      </c>
      <c r="H577" s="508">
        <v>0</v>
      </c>
      <c r="I577" s="508">
        <v>0</v>
      </c>
      <c r="J577" s="679">
        <v>3.2801542287167165E-3</v>
      </c>
      <c r="K577" s="506">
        <v>0</v>
      </c>
      <c r="L577" s="507">
        <v>0</v>
      </c>
      <c r="M577" s="507">
        <v>0</v>
      </c>
      <c r="N577" s="507">
        <v>0</v>
      </c>
      <c r="O577" s="506">
        <v>0</v>
      </c>
      <c r="P577" s="506">
        <v>0</v>
      </c>
      <c r="Q577" s="507">
        <v>0</v>
      </c>
      <c r="R577" s="507">
        <v>0</v>
      </c>
      <c r="S577" s="515">
        <v>0</v>
      </c>
      <c r="T577" s="543"/>
      <c r="U577" s="550"/>
    </row>
    <row r="578" spans="1:21">
      <c r="A578" s="479"/>
      <c r="B578" s="4" t="s">
        <v>107</v>
      </c>
      <c r="C578" s="506">
        <v>5.9131752388619056E-2</v>
      </c>
      <c r="D578" s="508">
        <v>0</v>
      </c>
      <c r="E578" s="508">
        <v>0</v>
      </c>
      <c r="F578" s="508">
        <v>0</v>
      </c>
      <c r="G578" s="508">
        <v>0</v>
      </c>
      <c r="H578" s="508">
        <v>0</v>
      </c>
      <c r="I578" s="508">
        <v>0</v>
      </c>
      <c r="J578" s="509">
        <v>3.5183893740274065E-2</v>
      </c>
      <c r="K578" s="506">
        <v>0</v>
      </c>
      <c r="L578" s="507">
        <v>0</v>
      </c>
      <c r="M578" s="507">
        <v>0</v>
      </c>
      <c r="N578" s="507">
        <v>0</v>
      </c>
      <c r="O578" s="506">
        <v>0</v>
      </c>
      <c r="P578" s="506">
        <v>0</v>
      </c>
      <c r="Q578" s="507">
        <v>0</v>
      </c>
      <c r="R578" s="507">
        <v>0</v>
      </c>
      <c r="S578" s="515">
        <v>0</v>
      </c>
      <c r="T578" s="551"/>
      <c r="U578" s="554"/>
    </row>
    <row r="579" spans="1:21">
      <c r="A579" s="479"/>
      <c r="B579" s="4" t="s">
        <v>83</v>
      </c>
      <c r="C579" s="506">
        <v>0</v>
      </c>
      <c r="D579" s="508">
        <v>0</v>
      </c>
      <c r="E579" s="508">
        <v>0</v>
      </c>
      <c r="F579" s="508">
        <v>0</v>
      </c>
      <c r="G579" s="508">
        <v>0</v>
      </c>
      <c r="H579" s="508">
        <v>0</v>
      </c>
      <c r="I579" s="508">
        <v>0</v>
      </c>
      <c r="J579" s="509">
        <v>0</v>
      </c>
      <c r="K579" s="506">
        <v>0</v>
      </c>
      <c r="L579" s="507">
        <v>0</v>
      </c>
      <c r="M579" s="507">
        <v>0</v>
      </c>
      <c r="N579" s="507">
        <v>0</v>
      </c>
      <c r="O579" s="506">
        <v>0</v>
      </c>
      <c r="P579" s="506">
        <v>0</v>
      </c>
      <c r="Q579" s="507">
        <v>0</v>
      </c>
      <c r="R579" s="507">
        <v>0</v>
      </c>
      <c r="S579" s="515">
        <v>0</v>
      </c>
      <c r="T579" s="506"/>
      <c r="U579" s="527"/>
    </row>
    <row r="580" spans="1:21">
      <c r="A580" s="479"/>
      <c r="B580" s="4" t="s">
        <v>85</v>
      </c>
      <c r="C580" s="506">
        <v>0</v>
      </c>
      <c r="D580" s="508">
        <v>0</v>
      </c>
      <c r="E580" s="508">
        <v>0</v>
      </c>
      <c r="F580" s="508">
        <v>0</v>
      </c>
      <c r="G580" s="508">
        <v>0</v>
      </c>
      <c r="H580" s="508">
        <v>0</v>
      </c>
      <c r="I580" s="508">
        <v>0</v>
      </c>
      <c r="J580" s="509">
        <v>0</v>
      </c>
      <c r="K580" s="506">
        <v>0</v>
      </c>
      <c r="L580" s="507">
        <v>0</v>
      </c>
      <c r="M580" s="507">
        <v>0</v>
      </c>
      <c r="N580" s="507">
        <v>0</v>
      </c>
      <c r="O580" s="506">
        <v>0</v>
      </c>
      <c r="P580" s="506">
        <v>0</v>
      </c>
      <c r="Q580" s="507">
        <v>0</v>
      </c>
      <c r="R580" s="507">
        <v>0</v>
      </c>
      <c r="S580" s="515">
        <v>0</v>
      </c>
      <c r="T580" s="506"/>
      <c r="U580" s="527"/>
    </row>
    <row r="581" spans="1:21">
      <c r="A581" s="607"/>
      <c r="B581" s="606" t="s">
        <v>109</v>
      </c>
      <c r="C581" s="629">
        <v>0</v>
      </c>
      <c r="D581" s="630">
        <v>0</v>
      </c>
      <c r="E581" s="630">
        <v>0</v>
      </c>
      <c r="F581" s="630">
        <v>0</v>
      </c>
      <c r="G581" s="630">
        <v>0</v>
      </c>
      <c r="H581" s="630">
        <v>0</v>
      </c>
      <c r="I581" s="630">
        <v>0</v>
      </c>
      <c r="J581" s="681">
        <v>0</v>
      </c>
      <c r="K581" s="629">
        <v>0</v>
      </c>
      <c r="L581" s="630">
        <v>0</v>
      </c>
      <c r="M581" s="630">
        <v>0</v>
      </c>
      <c r="N581" s="630">
        <v>0</v>
      </c>
      <c r="O581" s="629">
        <v>0</v>
      </c>
      <c r="P581" s="629">
        <v>0</v>
      </c>
      <c r="Q581" s="630">
        <v>0</v>
      </c>
      <c r="R581" s="630">
        <v>0</v>
      </c>
      <c r="S581" s="720">
        <v>0</v>
      </c>
      <c r="T581" s="510"/>
      <c r="U581" s="528"/>
    </row>
    <row r="582" spans="1:21">
      <c r="A582" s="470" t="s">
        <v>40</v>
      </c>
      <c r="B582" s="473"/>
      <c r="C582" s="463">
        <v>0.91493499688897051</v>
      </c>
      <c r="D582" s="464">
        <v>0.86845371354596579</v>
      </c>
      <c r="E582" s="464">
        <v>0.91453593000275391</v>
      </c>
      <c r="F582" s="464">
        <v>0.91707520131691012</v>
      </c>
      <c r="G582" s="464">
        <v>0.90017533060865718</v>
      </c>
      <c r="H582" s="464">
        <v>0.85694965471188078</v>
      </c>
      <c r="I582" s="464">
        <v>2.8758015234324568E-2</v>
      </c>
      <c r="J582" s="466">
        <v>0.89997032996986637</v>
      </c>
      <c r="K582" s="463">
        <v>0.83686714621072322</v>
      </c>
      <c r="L582" s="464">
        <v>0.79632370836469812</v>
      </c>
      <c r="M582" s="464">
        <v>0.75378841275344655</v>
      </c>
      <c r="N582" s="464">
        <v>0.74427469610854657</v>
      </c>
      <c r="O582" s="463">
        <v>0.78046581426270334</v>
      </c>
      <c r="P582" s="463">
        <v>0.78721650674614529</v>
      </c>
      <c r="Q582" s="464">
        <v>0.99721678291393778</v>
      </c>
      <c r="R582" s="464">
        <v>1</v>
      </c>
      <c r="S582" s="465">
        <v>0.9474134077593791</v>
      </c>
      <c r="T582" s="463"/>
      <c r="U582" s="465"/>
    </row>
    <row r="583" spans="1:21">
      <c r="A583" s="470" t="s">
        <v>42</v>
      </c>
      <c r="B583" s="473"/>
      <c r="C583" s="463">
        <v>0.90968774908373728</v>
      </c>
      <c r="D583" s="464">
        <v>0.87569112361886658</v>
      </c>
      <c r="E583" s="464">
        <v>0.90447152250632812</v>
      </c>
      <c r="F583" s="464">
        <v>0.90100703257459736</v>
      </c>
      <c r="G583" s="464">
        <v>0.89110113748112207</v>
      </c>
      <c r="H583" s="464">
        <v>0.849484789206984</v>
      </c>
      <c r="I583" s="464">
        <v>8.1059936050071432E-2</v>
      </c>
      <c r="J583" s="466">
        <v>0.89412528899544308</v>
      </c>
      <c r="K583" s="463">
        <v>0.83006127144377895</v>
      </c>
      <c r="L583" s="464">
        <v>0.77696498784653423</v>
      </c>
      <c r="M583" s="464">
        <v>0.72871482110260988</v>
      </c>
      <c r="N583" s="464">
        <v>0.72877591445139467</v>
      </c>
      <c r="O583" s="463">
        <v>0.75992455655770763</v>
      </c>
      <c r="P583" s="463">
        <v>0.74756904899354915</v>
      </c>
      <c r="Q583" s="464">
        <v>0.99626458629206793</v>
      </c>
      <c r="R583" s="464">
        <v>1</v>
      </c>
      <c r="S583" s="465">
        <v>0.93823060183801255</v>
      </c>
      <c r="T583" s="506"/>
      <c r="U583" s="527"/>
    </row>
    <row r="584" spans="1:21">
      <c r="A584" s="470" t="s">
        <v>88</v>
      </c>
      <c r="B584" s="473"/>
      <c r="C584" s="532">
        <v>-0.52472478052332239</v>
      </c>
      <c r="D584" s="533">
        <v>0.72374100729007962</v>
      </c>
      <c r="E584" s="533">
        <v>-1.0064407496425787</v>
      </c>
      <c r="F584" s="533">
        <v>-1.6068168742312761</v>
      </c>
      <c r="G584" s="533">
        <v>-0.90741931275351018</v>
      </c>
      <c r="H584" s="533">
        <v>-0.74648655048967782</v>
      </c>
      <c r="I584" s="533">
        <v>5.2301920815746863</v>
      </c>
      <c r="J584" s="534">
        <v>-0.58450409744232878</v>
      </c>
      <c r="K584" s="532">
        <v>-0.68058747669442754</v>
      </c>
      <c r="L584" s="533">
        <v>-1.9358720518163897</v>
      </c>
      <c r="M584" s="533">
        <v>-2.5073591650836669</v>
      </c>
      <c r="N584" s="533">
        <v>-1.5498781657151905</v>
      </c>
      <c r="O584" s="532">
        <v>-2.0541257704995708</v>
      </c>
      <c r="P584" s="532">
        <v>-3.9647457752596149</v>
      </c>
      <c r="Q584" s="533">
        <v>-9.5219662186984966E-2</v>
      </c>
      <c r="R584" s="533">
        <v>0</v>
      </c>
      <c r="S584" s="535">
        <v>-0.91828059213665547</v>
      </c>
      <c r="T584" s="510"/>
      <c r="U584" s="528"/>
    </row>
    <row r="585" spans="1:21">
      <c r="A585" s="470" t="s">
        <v>44</v>
      </c>
      <c r="B585" s="473"/>
      <c r="C585" s="463">
        <v>2.5018620490078032E-2</v>
      </c>
      <c r="D585" s="464">
        <v>5.8833327982110072E-2</v>
      </c>
      <c r="E585" s="464">
        <v>2.7053734005242445E-2</v>
      </c>
      <c r="F585" s="464">
        <v>2.1247446544808639E-2</v>
      </c>
      <c r="G585" s="464">
        <v>2.4112057023821465E-2</v>
      </c>
      <c r="H585" s="464">
        <v>5.4830849911099669E-2</v>
      </c>
      <c r="I585" s="464">
        <v>0.18260478977492792</v>
      </c>
      <c r="J585" s="466">
        <v>3.1183398660677052E-2</v>
      </c>
      <c r="K585" s="463">
        <v>3.8358762847326387E-2</v>
      </c>
      <c r="L585" s="464">
        <v>7.3675302974401294E-2</v>
      </c>
      <c r="M585" s="464">
        <v>0.11919179697193864</v>
      </c>
      <c r="N585" s="464">
        <v>0.12609482749253428</v>
      </c>
      <c r="O585" s="463">
        <v>9.0813493115984134E-2</v>
      </c>
      <c r="P585" s="463">
        <v>1.7062146642943027E-4</v>
      </c>
      <c r="Q585" s="464">
        <v>0</v>
      </c>
      <c r="R585" s="464">
        <v>0</v>
      </c>
      <c r="S585" s="465">
        <v>4.0532408393553043E-5</v>
      </c>
      <c r="T585" s="506"/>
      <c r="U585" s="527"/>
    </row>
    <row r="586" spans="1:21">
      <c r="A586" s="470" t="s">
        <v>46</v>
      </c>
      <c r="B586" s="473"/>
      <c r="C586" s="463">
        <v>2.3039045673845526E-2</v>
      </c>
      <c r="D586" s="464">
        <v>5.9761865866698349E-2</v>
      </c>
      <c r="E586" s="464">
        <v>2.8024989995713775E-2</v>
      </c>
      <c r="F586" s="464">
        <v>2.0435044880601817E-2</v>
      </c>
      <c r="G586" s="464">
        <v>2.363235091701707E-2</v>
      </c>
      <c r="H586" s="464">
        <v>5.8930616556850876E-2</v>
      </c>
      <c r="I586" s="464">
        <v>0.15161941942675325</v>
      </c>
      <c r="J586" s="466">
        <v>3.0432030003289864E-2</v>
      </c>
      <c r="K586" s="463">
        <v>3.6913305894453519E-2</v>
      </c>
      <c r="L586" s="464">
        <v>6.9588678567328199E-2</v>
      </c>
      <c r="M586" s="464">
        <v>0.10928451581754217</v>
      </c>
      <c r="N586" s="464">
        <v>0.11498126231713965</v>
      </c>
      <c r="O586" s="463">
        <v>8.4725015929830047E-2</v>
      </c>
      <c r="P586" s="463">
        <v>1.8002633766760662E-4</v>
      </c>
      <c r="Q586" s="464">
        <v>0</v>
      </c>
      <c r="R586" s="464">
        <v>0</v>
      </c>
      <c r="S586" s="465">
        <v>4.2092420896552369E-5</v>
      </c>
      <c r="T586" s="506"/>
      <c r="U586" s="527"/>
    </row>
    <row r="587" spans="1:21">
      <c r="A587" s="470" t="s">
        <v>96</v>
      </c>
      <c r="B587" s="473"/>
      <c r="C587" s="467">
        <v>-0.19795748162325066</v>
      </c>
      <c r="D587" s="468">
        <v>9.2853788458827774E-2</v>
      </c>
      <c r="E587" s="468">
        <v>9.7125599047133068E-2</v>
      </c>
      <c r="F587" s="468">
        <v>-8.1240166420682228E-2</v>
      </c>
      <c r="G587" s="468">
        <v>-4.7970610680439507E-2</v>
      </c>
      <c r="H587" s="468">
        <v>0.40997666457512072</v>
      </c>
      <c r="I587" s="468">
        <v>-3.0985370348174666</v>
      </c>
      <c r="J587" s="474">
        <v>-7.5136865738718861E-2</v>
      </c>
      <c r="K587" s="467">
        <v>-0.14454569528728686</v>
      </c>
      <c r="L587" s="468">
        <v>-0.40866244070730945</v>
      </c>
      <c r="M587" s="468">
        <v>-0.99072811543964723</v>
      </c>
      <c r="N587" s="468">
        <v>-1.1113565175394635</v>
      </c>
      <c r="O587" s="467">
        <v>-0.60884771861540865</v>
      </c>
      <c r="P587" s="467">
        <v>9.4048712381763501E-4</v>
      </c>
      <c r="Q587" s="468">
        <v>0</v>
      </c>
      <c r="R587" s="468">
        <v>0</v>
      </c>
      <c r="S587" s="469">
        <v>1.5600125029993262E-4</v>
      </c>
      <c r="T587" s="506"/>
      <c r="U587" s="527"/>
    </row>
    <row r="588" spans="1:21">
      <c r="A588" s="470" t="s">
        <v>50</v>
      </c>
      <c r="B588" s="473"/>
      <c r="C588" s="463">
        <v>4.0173236905956526E-2</v>
      </c>
      <c r="D588" s="464">
        <v>6.8587316312551563E-2</v>
      </c>
      <c r="E588" s="464">
        <v>5.2417548985107337E-2</v>
      </c>
      <c r="F588" s="464">
        <v>5.6452658903092839E-2</v>
      </c>
      <c r="G588" s="464">
        <v>5.7452390050495371E-2</v>
      </c>
      <c r="H588" s="464">
        <v>8.309718191124553E-2</v>
      </c>
      <c r="I588" s="464">
        <v>0.78863719499074747</v>
      </c>
      <c r="J588" s="466">
        <v>5.6826126251672902E-2</v>
      </c>
      <c r="K588" s="463">
        <v>9.9812086951665963E-2</v>
      </c>
      <c r="L588" s="464">
        <v>0.11271104073070187</v>
      </c>
      <c r="M588" s="464">
        <v>0.10231135257458307</v>
      </c>
      <c r="N588" s="464">
        <v>9.9788824115021837E-2</v>
      </c>
      <c r="O588" s="463">
        <v>0.10749878540172976</v>
      </c>
      <c r="P588" s="463">
        <v>0.20968468243022689</v>
      </c>
      <c r="Q588" s="464">
        <v>2.7336692647506023E-3</v>
      </c>
      <c r="R588" s="464">
        <v>0</v>
      </c>
      <c r="S588" s="465">
        <v>5.181416034352089E-2</v>
      </c>
      <c r="T588" s="506"/>
      <c r="U588" s="527"/>
    </row>
    <row r="589" spans="1:21">
      <c r="A589" s="470" t="s">
        <v>52</v>
      </c>
      <c r="B589" s="473"/>
      <c r="C589" s="463">
        <v>4.2105502301242999E-2</v>
      </c>
      <c r="D589" s="464">
        <v>5.7778157300700961E-2</v>
      </c>
      <c r="E589" s="464">
        <v>5.8067949153279681E-2</v>
      </c>
      <c r="F589" s="464">
        <v>7.2123797887737359E-2</v>
      </c>
      <c r="G589" s="464">
        <v>6.591417262435699E-2</v>
      </c>
      <c r="H589" s="464">
        <v>8.5534629800436246E-2</v>
      </c>
      <c r="I589" s="464">
        <v>0.76732064452317528</v>
      </c>
      <c r="J589" s="466">
        <v>5.9960912178756508E-2</v>
      </c>
      <c r="K589" s="463">
        <v>8.8929442179673968E-2</v>
      </c>
      <c r="L589" s="464">
        <v>0.13373968696978608</v>
      </c>
      <c r="M589" s="464">
        <v>0.12865425331186431</v>
      </c>
      <c r="N589" s="464">
        <v>0.12433938834574833</v>
      </c>
      <c r="O589" s="463">
        <v>0.12875617853586821</v>
      </c>
      <c r="P589" s="463">
        <v>0.24878711894850514</v>
      </c>
      <c r="Q589" s="464">
        <v>3.7231242223950919E-3</v>
      </c>
      <c r="R589" s="464">
        <v>0</v>
      </c>
      <c r="S589" s="465">
        <v>6.0908383951036482E-2</v>
      </c>
      <c r="T589" s="506"/>
      <c r="U589" s="527"/>
    </row>
    <row r="590" spans="1:21">
      <c r="A590" s="470" t="s">
        <v>98</v>
      </c>
      <c r="B590" s="473"/>
      <c r="C590" s="467">
        <v>0.19322653952864727</v>
      </c>
      <c r="D590" s="468">
        <v>-1.0809159011850602</v>
      </c>
      <c r="E590" s="468">
        <v>0.56504001681723437</v>
      </c>
      <c r="F590" s="468">
        <v>1.5671138984644519</v>
      </c>
      <c r="G590" s="468">
        <v>0.84617825738616192</v>
      </c>
      <c r="H590" s="468">
        <v>0.24374478891907164</v>
      </c>
      <c r="I590" s="468">
        <v>-2.1316550467572193</v>
      </c>
      <c r="J590" s="474">
        <v>0.31347859270836054</v>
      </c>
      <c r="K590" s="467">
        <v>-1.0882644771991994</v>
      </c>
      <c r="L590" s="468">
        <v>2.1028646239084208</v>
      </c>
      <c r="M590" s="468">
        <v>2.6342900737281241</v>
      </c>
      <c r="N590" s="468">
        <v>2.4550564230726488</v>
      </c>
      <c r="O590" s="467">
        <v>2.1257393134138449</v>
      </c>
      <c r="P590" s="467">
        <v>3.9102436518278245</v>
      </c>
      <c r="Q590" s="468">
        <v>9.8945495764448957E-2</v>
      </c>
      <c r="R590" s="468">
        <v>0</v>
      </c>
      <c r="S590" s="469">
        <v>0.90942236075155924</v>
      </c>
      <c r="T590" s="506"/>
      <c r="U590" s="527"/>
    </row>
    <row r="591" spans="1:21">
      <c r="A591" s="470" t="s">
        <v>54</v>
      </c>
      <c r="B591" s="473"/>
      <c r="C591" s="463">
        <v>7.9482816982198636E-4</v>
      </c>
      <c r="D591" s="464">
        <v>3.8669717434275321E-3</v>
      </c>
      <c r="E591" s="464">
        <v>4.732122443563855E-3</v>
      </c>
      <c r="F591" s="464">
        <v>2.5976291718612758E-3</v>
      </c>
      <c r="G591" s="464">
        <v>1.4004981231584333E-2</v>
      </c>
      <c r="H591" s="464">
        <v>4.4719559868535274E-3</v>
      </c>
      <c r="I591" s="464">
        <v>0</v>
      </c>
      <c r="J591" s="466">
        <v>3.2693197594656173E-3</v>
      </c>
      <c r="K591" s="463">
        <v>1.0389111172580019E-4</v>
      </c>
      <c r="L591" s="464">
        <v>1.6101516469867112E-3</v>
      </c>
      <c r="M591" s="464">
        <v>8.3315592197382923E-3</v>
      </c>
      <c r="N591" s="464">
        <v>1.3463634763568336E-2</v>
      </c>
      <c r="O591" s="463">
        <v>4.7278825561356298E-3</v>
      </c>
      <c r="P591" s="463">
        <v>2.585321457992605E-3</v>
      </c>
      <c r="Q591" s="464">
        <v>4.9547821311664923E-5</v>
      </c>
      <c r="R591" s="464">
        <v>0</v>
      </c>
      <c r="S591" s="465">
        <v>6.5044864898225593E-4</v>
      </c>
      <c r="T591" s="506"/>
      <c r="U591" s="527"/>
    </row>
    <row r="592" spans="1:21">
      <c r="A592" s="470" t="s">
        <v>56</v>
      </c>
      <c r="B592" s="473"/>
      <c r="C592" s="463">
        <v>2.027245476049949E-3</v>
      </c>
      <c r="D592" s="464">
        <v>4.0994044790305332E-3</v>
      </c>
      <c r="E592" s="464">
        <v>4.9010865929644733E-3</v>
      </c>
      <c r="F592" s="464">
        <v>2.6414641594668304E-3</v>
      </c>
      <c r="G592" s="464">
        <v>1.5551372965515845E-2</v>
      </c>
      <c r="H592" s="464">
        <v>5.928275937822562E-3</v>
      </c>
      <c r="I592" s="464">
        <v>0</v>
      </c>
      <c r="J592" s="466">
        <v>4.033764411513885E-3</v>
      </c>
      <c r="K592" s="463">
        <v>8.952793026142155E-5</v>
      </c>
      <c r="L592" s="464">
        <v>1.9049650449693807E-3</v>
      </c>
      <c r="M592" s="464">
        <v>1.1164228013730494E-2</v>
      </c>
      <c r="N592" s="464">
        <v>1.4280348731489709E-2</v>
      </c>
      <c r="O592" s="463">
        <v>5.9157752885648368E-3</v>
      </c>
      <c r="P592" s="463">
        <v>3.1912916249427791E-3</v>
      </c>
      <c r="Q592" s="464">
        <v>1.2289485536966556E-5</v>
      </c>
      <c r="R592" s="464">
        <v>0</v>
      </c>
      <c r="S592" s="465">
        <v>7.5520456873161485E-4</v>
      </c>
      <c r="T592" s="506"/>
      <c r="U592" s="527"/>
    </row>
    <row r="593" spans="1:21">
      <c r="A593" s="470" t="s">
        <v>104</v>
      </c>
      <c r="B593" s="473"/>
      <c r="C593" s="467">
        <v>0.12324173062279627</v>
      </c>
      <c r="D593" s="468">
        <v>2.3243273560300114E-2</v>
      </c>
      <c r="E593" s="468">
        <v>1.6896414940061836E-2</v>
      </c>
      <c r="F593" s="468">
        <v>4.3834987605554602E-3</v>
      </c>
      <c r="G593" s="468">
        <v>0.15463917339315122</v>
      </c>
      <c r="H593" s="468">
        <v>0.14563199509690347</v>
      </c>
      <c r="I593" s="468">
        <v>0</v>
      </c>
      <c r="J593" s="474">
        <v>7.6444465204826784E-2</v>
      </c>
      <c r="K593" s="467">
        <v>-1.4363181464378638E-3</v>
      </c>
      <c r="L593" s="468">
        <v>2.9481339798266948E-2</v>
      </c>
      <c r="M593" s="468">
        <v>0.28326687939922018</v>
      </c>
      <c r="N593" s="468">
        <v>8.1671396792137335E-2</v>
      </c>
      <c r="O593" s="467">
        <v>0.1187892732429207</v>
      </c>
      <c r="P593" s="467">
        <v>6.0597016695017408E-2</v>
      </c>
      <c r="Q593" s="468">
        <v>-3.7258335774698371E-3</v>
      </c>
      <c r="R593" s="468">
        <v>0</v>
      </c>
      <c r="S593" s="469">
        <v>1.0475591974935892E-2</v>
      </c>
      <c r="T593" s="506"/>
      <c r="U593" s="527"/>
    </row>
    <row r="594" spans="1:21">
      <c r="A594" s="470" t="s">
        <v>58</v>
      </c>
      <c r="B594" s="473"/>
      <c r="C594" s="463">
        <v>1.6401168379228483E-2</v>
      </c>
      <c r="D594" s="464">
        <v>2.5867041594504833E-4</v>
      </c>
      <c r="E594" s="464">
        <v>1.104371913049366E-3</v>
      </c>
      <c r="F594" s="464">
        <v>2.6270640633271258E-3</v>
      </c>
      <c r="G594" s="464">
        <v>3.9223002813798657E-3</v>
      </c>
      <c r="H594" s="464">
        <v>2.3510831037126977E-4</v>
      </c>
      <c r="I594" s="464">
        <v>0</v>
      </c>
      <c r="J594" s="466">
        <v>7.5706794134489811E-3</v>
      </c>
      <c r="K594" s="463">
        <v>1.0986917944635561E-2</v>
      </c>
      <c r="L594" s="464">
        <v>1.4889269628501232E-2</v>
      </c>
      <c r="M594" s="464">
        <v>1.6125134955271431E-2</v>
      </c>
      <c r="N594" s="464">
        <v>1.6309622259039216E-2</v>
      </c>
      <c r="O594" s="463">
        <v>1.5184370006954117E-2</v>
      </c>
      <c r="P594" s="463">
        <v>3.4286789920580748E-4</v>
      </c>
      <c r="Q594" s="464">
        <v>0</v>
      </c>
      <c r="R594" s="464">
        <v>0</v>
      </c>
      <c r="S594" s="465">
        <v>8.1450839724187538E-5</v>
      </c>
      <c r="T594" s="506"/>
      <c r="U594" s="527"/>
    </row>
    <row r="595" spans="1:21">
      <c r="A595" s="470" t="s">
        <v>60</v>
      </c>
      <c r="B595" s="473"/>
      <c r="C595" s="463">
        <v>2.0637992769883973E-2</v>
      </c>
      <c r="D595" s="464">
        <v>2.1426131638350955E-3</v>
      </c>
      <c r="E595" s="464">
        <v>3.899455325630497E-3</v>
      </c>
      <c r="F595" s="464">
        <v>3.0357376777437228E-3</v>
      </c>
      <c r="G595" s="464">
        <v>3.3428543566052077E-3</v>
      </c>
      <c r="H595" s="464">
        <v>1.2168849790625785E-4</v>
      </c>
      <c r="I595" s="464">
        <v>0</v>
      </c>
      <c r="J595" s="466">
        <v>1.0104200470829456E-2</v>
      </c>
      <c r="K595" s="463">
        <v>3.5754348441069367E-2</v>
      </c>
      <c r="L595" s="464">
        <v>1.7252360576879459E-2</v>
      </c>
      <c r="M595" s="464">
        <v>2.1625301418100682E-2</v>
      </c>
      <c r="N595" s="464">
        <v>1.7408908085401183E-2</v>
      </c>
      <c r="O595" s="463">
        <v>1.9726833528138272E-2</v>
      </c>
      <c r="P595" s="463">
        <v>2.7251409533532895E-4</v>
      </c>
      <c r="Q595" s="464">
        <v>0</v>
      </c>
      <c r="R595" s="464">
        <v>0</v>
      </c>
      <c r="S595" s="465">
        <v>6.3717221322788032E-5</v>
      </c>
      <c r="T595" s="506"/>
      <c r="U595" s="527"/>
    </row>
    <row r="596" spans="1:21">
      <c r="A596" s="470" t="s">
        <v>106</v>
      </c>
      <c r="B596" s="473"/>
      <c r="C596" s="467">
        <v>0.42368243906554909</v>
      </c>
      <c r="D596" s="468">
        <v>0.18839427478900472</v>
      </c>
      <c r="E596" s="468">
        <v>0.27950834125811308</v>
      </c>
      <c r="F596" s="468">
        <v>4.0867361441659707E-2</v>
      </c>
      <c r="G596" s="468">
        <v>-5.7944592477465792E-2</v>
      </c>
      <c r="H596" s="468">
        <v>-1.1341981246501192E-2</v>
      </c>
      <c r="I596" s="468">
        <v>0</v>
      </c>
      <c r="J596" s="474">
        <v>0.25335210573804751</v>
      </c>
      <c r="K596" s="467">
        <v>2.4767430496433804</v>
      </c>
      <c r="L596" s="468">
        <v>0.23630909483782267</v>
      </c>
      <c r="M596" s="468">
        <v>0.55001664628292513</v>
      </c>
      <c r="N596" s="468">
        <v>0.10992858263619669</v>
      </c>
      <c r="O596" s="467">
        <v>0.45424635211841546</v>
      </c>
      <c r="P596" s="467">
        <v>-7.0353803870478529E-3</v>
      </c>
      <c r="Q596" s="468">
        <v>0</v>
      </c>
      <c r="R596" s="468">
        <v>0</v>
      </c>
      <c r="S596" s="469">
        <v>-1.7733618401399507E-3</v>
      </c>
      <c r="T596" s="506"/>
      <c r="U596" s="527"/>
    </row>
    <row r="597" spans="1:21">
      <c r="A597" s="470" t="s">
        <v>62</v>
      </c>
      <c r="B597" s="473"/>
      <c r="C597" s="463">
        <v>2.677149165944429E-3</v>
      </c>
      <c r="D597" s="464">
        <v>0</v>
      </c>
      <c r="E597" s="464">
        <v>1.5629265028308781E-4</v>
      </c>
      <c r="F597" s="464">
        <v>0</v>
      </c>
      <c r="G597" s="464">
        <v>3.3294080406179972E-4</v>
      </c>
      <c r="H597" s="464">
        <v>4.1524916854925655E-4</v>
      </c>
      <c r="I597" s="464">
        <v>0</v>
      </c>
      <c r="J597" s="466">
        <v>1.1801459448690808E-3</v>
      </c>
      <c r="K597" s="463">
        <v>1.3871194933923088E-2</v>
      </c>
      <c r="L597" s="464">
        <v>7.9052665471069706E-4</v>
      </c>
      <c r="M597" s="464">
        <v>2.5174352502167378E-4</v>
      </c>
      <c r="N597" s="464">
        <v>6.8395261289479011E-5</v>
      </c>
      <c r="O597" s="463">
        <v>1.3096546564929665E-3</v>
      </c>
      <c r="P597" s="463">
        <v>0</v>
      </c>
      <c r="Q597" s="464">
        <v>0</v>
      </c>
      <c r="R597" s="464">
        <v>0</v>
      </c>
      <c r="S597" s="465">
        <v>0</v>
      </c>
      <c r="T597" s="506"/>
      <c r="U597" s="527"/>
    </row>
    <row r="598" spans="1:21">
      <c r="A598" s="470" t="s">
        <v>64</v>
      </c>
      <c r="B598" s="473"/>
      <c r="C598" s="463">
        <v>2.5024646952402606E-3</v>
      </c>
      <c r="D598" s="464">
        <v>5.2683557086848044E-4</v>
      </c>
      <c r="E598" s="464">
        <v>6.3499642608342655E-4</v>
      </c>
      <c r="F598" s="464">
        <v>7.5692281985288538E-4</v>
      </c>
      <c r="G598" s="464">
        <v>4.5811165538280324E-4</v>
      </c>
      <c r="H598" s="464">
        <v>0</v>
      </c>
      <c r="I598" s="464">
        <v>0</v>
      </c>
      <c r="J598" s="466">
        <v>1.343803940167191E-3</v>
      </c>
      <c r="K598" s="463">
        <v>8.2521041107628101E-3</v>
      </c>
      <c r="L598" s="464">
        <v>5.4932099450261541E-4</v>
      </c>
      <c r="M598" s="464">
        <v>5.5688033615228368E-4</v>
      </c>
      <c r="N598" s="464">
        <v>2.1417806882648109E-4</v>
      </c>
      <c r="O598" s="463">
        <v>9.5164015989093666E-4</v>
      </c>
      <c r="P598" s="463">
        <v>0</v>
      </c>
      <c r="Q598" s="464">
        <v>0</v>
      </c>
      <c r="R598" s="464">
        <v>0</v>
      </c>
      <c r="S598" s="465">
        <v>0</v>
      </c>
      <c r="T598" s="506"/>
      <c r="U598" s="527"/>
    </row>
    <row r="599" spans="1:21">
      <c r="A599" s="470" t="s">
        <v>92</v>
      </c>
      <c r="B599" s="473"/>
      <c r="C599" s="467">
        <v>-1.7468447070416837E-2</v>
      </c>
      <c r="D599" s="468">
        <v>0</v>
      </c>
      <c r="E599" s="468">
        <v>4.7870377580033874E-2</v>
      </c>
      <c r="F599" s="468">
        <v>0</v>
      </c>
      <c r="G599" s="468">
        <v>1.2517085132100352E-2</v>
      </c>
      <c r="H599" s="468">
        <v>-4.1524916854925653E-2</v>
      </c>
      <c r="I599" s="468">
        <v>0</v>
      </c>
      <c r="J599" s="474">
        <v>1.6365799529811022E-2</v>
      </c>
      <c r="K599" s="467">
        <v>-0.56190908231602776</v>
      </c>
      <c r="L599" s="468">
        <v>-2.4120566020808164E-2</v>
      </c>
      <c r="M599" s="468">
        <v>3.0513681113060992E-2</v>
      </c>
      <c r="N599" s="468">
        <v>1.4578280753700207E-2</v>
      </c>
      <c r="O599" s="467">
        <v>-3.5801449660202982E-2</v>
      </c>
      <c r="P599" s="467">
        <v>0</v>
      </c>
      <c r="Q599" s="468">
        <v>0</v>
      </c>
      <c r="R599" s="468">
        <v>0</v>
      </c>
      <c r="S599" s="469">
        <v>0</v>
      </c>
      <c r="T599" s="506"/>
      <c r="U599" s="527"/>
    </row>
    <row r="600" spans="1:21">
      <c r="A600" s="470" t="s">
        <v>48</v>
      </c>
      <c r="B600" s="473"/>
      <c r="C600" s="463">
        <v>0.83531768540363327</v>
      </c>
      <c r="D600" s="464">
        <v>0.81205700772379807</v>
      </c>
      <c r="E600" s="464">
        <v>0.66285648286588095</v>
      </c>
      <c r="F600" s="464">
        <v>0.74488107220005495</v>
      </c>
      <c r="G600" s="464">
        <v>0.56824467930241362</v>
      </c>
      <c r="H600" s="464">
        <v>0.64675777842396043</v>
      </c>
      <c r="I600" s="464">
        <v>0</v>
      </c>
      <c r="J600" s="466">
        <v>0.76482401594274663</v>
      </c>
      <c r="K600" s="463">
        <v>0</v>
      </c>
      <c r="L600" s="464">
        <v>0</v>
      </c>
      <c r="M600" s="464">
        <v>0</v>
      </c>
      <c r="N600" s="464">
        <v>0</v>
      </c>
      <c r="O600" s="463">
        <v>0</v>
      </c>
      <c r="P600" s="463">
        <v>0</v>
      </c>
      <c r="Q600" s="464">
        <v>0</v>
      </c>
      <c r="R600" s="464">
        <v>0</v>
      </c>
      <c r="S600" s="465">
        <v>0</v>
      </c>
      <c r="T600" s="506"/>
      <c r="U600" s="527"/>
    </row>
    <row r="601" spans="1:21">
      <c r="A601" s="470" t="s">
        <v>66</v>
      </c>
      <c r="B601" s="473"/>
      <c r="C601" s="463">
        <v>0.8316668821436829</v>
      </c>
      <c r="D601" s="464">
        <v>0.82254037928058599</v>
      </c>
      <c r="E601" s="464">
        <v>0.62923941856898746</v>
      </c>
      <c r="F601" s="464">
        <v>0.72343435018432511</v>
      </c>
      <c r="G601" s="464">
        <v>0.53109669051539354</v>
      </c>
      <c r="H601" s="464">
        <v>0.63053086830473837</v>
      </c>
      <c r="I601" s="464">
        <v>0</v>
      </c>
      <c r="J601" s="466">
        <v>0.75254599013518719</v>
      </c>
      <c r="K601" s="463">
        <v>0</v>
      </c>
      <c r="L601" s="464">
        <v>0</v>
      </c>
      <c r="M601" s="464">
        <v>0</v>
      </c>
      <c r="N601" s="464">
        <v>0</v>
      </c>
      <c r="O601" s="463">
        <v>0</v>
      </c>
      <c r="P601" s="463">
        <v>0</v>
      </c>
      <c r="Q601" s="464">
        <v>0</v>
      </c>
      <c r="R601" s="464">
        <v>0</v>
      </c>
      <c r="S601" s="465">
        <v>0</v>
      </c>
      <c r="T601" s="506"/>
      <c r="U601" s="527"/>
    </row>
    <row r="602" spans="1:21">
      <c r="A602" s="470" t="s">
        <v>90</v>
      </c>
      <c r="B602" s="473"/>
      <c r="C602" s="467">
        <v>-0.36508032599503748</v>
      </c>
      <c r="D602" s="468">
        <v>1.0483371556787913</v>
      </c>
      <c r="E602" s="468">
        <v>-3.3617064296893484</v>
      </c>
      <c r="F602" s="468">
        <v>-2.1446722015729835</v>
      </c>
      <c r="G602" s="468">
        <v>-3.7147988787020081</v>
      </c>
      <c r="H602" s="468">
        <v>-1.622691011922206</v>
      </c>
      <c r="I602" s="468">
        <v>0</v>
      </c>
      <c r="J602" s="474">
        <v>-1.2278025807559434</v>
      </c>
      <c r="K602" s="467">
        <v>0</v>
      </c>
      <c r="L602" s="468">
        <v>0</v>
      </c>
      <c r="M602" s="468">
        <v>0</v>
      </c>
      <c r="N602" s="468">
        <v>0</v>
      </c>
      <c r="O602" s="467">
        <v>0</v>
      </c>
      <c r="P602" s="467">
        <v>0</v>
      </c>
      <c r="Q602" s="468">
        <v>0</v>
      </c>
      <c r="R602" s="468">
        <v>0</v>
      </c>
      <c r="S602" s="469">
        <v>0</v>
      </c>
      <c r="T602" s="506"/>
      <c r="U602" s="527"/>
    </row>
    <row r="603" spans="1:21">
      <c r="A603" s="470" t="s">
        <v>68</v>
      </c>
      <c r="B603" s="473"/>
      <c r="C603" s="463">
        <v>6.9590655081336369E-2</v>
      </c>
      <c r="D603" s="464">
        <v>6.8539323361729007E-2</v>
      </c>
      <c r="E603" s="464">
        <v>0.14629257819483801</v>
      </c>
      <c r="F603" s="464">
        <v>8.7854207525927819E-2</v>
      </c>
      <c r="G603" s="464">
        <v>0.10372570141982318</v>
      </c>
      <c r="H603" s="464">
        <v>2.8264030241349228E-2</v>
      </c>
      <c r="I603" s="464">
        <v>9.6291974162160385E-2</v>
      </c>
      <c r="J603" s="466">
        <v>8.9228469682049963E-2</v>
      </c>
      <c r="K603" s="463">
        <v>0</v>
      </c>
      <c r="L603" s="464">
        <v>0</v>
      </c>
      <c r="M603" s="464">
        <v>0</v>
      </c>
      <c r="N603" s="464">
        <v>0</v>
      </c>
      <c r="O603" s="463">
        <v>0</v>
      </c>
      <c r="P603" s="463">
        <v>0</v>
      </c>
      <c r="Q603" s="464">
        <v>0</v>
      </c>
      <c r="R603" s="464">
        <v>0</v>
      </c>
      <c r="S603" s="465">
        <v>0</v>
      </c>
      <c r="T603" s="506"/>
      <c r="U603" s="527"/>
    </row>
    <row r="604" spans="1:21">
      <c r="A604" s="470" t="s">
        <v>70</v>
      </c>
      <c r="B604" s="473"/>
      <c r="C604" s="463">
        <v>6.4400414393976854E-2</v>
      </c>
      <c r="D604" s="464">
        <v>6.9444919422489287E-2</v>
      </c>
      <c r="E604" s="464">
        <v>0.13016638916882092</v>
      </c>
      <c r="F604" s="464">
        <v>7.9458136392881962E-2</v>
      </c>
      <c r="G604" s="464">
        <v>8.9624329912535952E-2</v>
      </c>
      <c r="H604" s="464">
        <v>5.9835559146428401E-2</v>
      </c>
      <c r="I604" s="464">
        <v>5.9613861656517109E-2</v>
      </c>
      <c r="J604" s="466">
        <v>8.2497167714248559E-2</v>
      </c>
      <c r="K604" s="463">
        <v>0</v>
      </c>
      <c r="L604" s="464">
        <v>0</v>
      </c>
      <c r="M604" s="464">
        <v>0</v>
      </c>
      <c r="N604" s="464">
        <v>0</v>
      </c>
      <c r="O604" s="463">
        <v>0</v>
      </c>
      <c r="P604" s="463">
        <v>0</v>
      </c>
      <c r="Q604" s="464">
        <v>0</v>
      </c>
      <c r="R604" s="464">
        <v>0</v>
      </c>
      <c r="S604" s="465">
        <v>0</v>
      </c>
      <c r="T604" s="506"/>
      <c r="U604" s="527"/>
    </row>
    <row r="605" spans="1:21">
      <c r="A605" s="470" t="s">
        <v>94</v>
      </c>
      <c r="B605" s="473"/>
      <c r="C605" s="467">
        <v>-0.51902406873595153</v>
      </c>
      <c r="D605" s="468">
        <v>9.0559606076028032E-2</v>
      </c>
      <c r="E605" s="468">
        <v>-1.612618902601709</v>
      </c>
      <c r="F605" s="468">
        <v>-0.83960711330458571</v>
      </c>
      <c r="G605" s="468">
        <v>-1.4101371507287228</v>
      </c>
      <c r="H605" s="468">
        <v>3.1571528905079171</v>
      </c>
      <c r="I605" s="468">
        <v>-3.6678112505643274</v>
      </c>
      <c r="J605" s="474">
        <v>-0.67313019678014041</v>
      </c>
      <c r="K605" s="467">
        <v>0</v>
      </c>
      <c r="L605" s="468">
        <v>0</v>
      </c>
      <c r="M605" s="468">
        <v>0</v>
      </c>
      <c r="N605" s="468">
        <v>0</v>
      </c>
      <c r="O605" s="467">
        <v>0</v>
      </c>
      <c r="P605" s="467">
        <v>0</v>
      </c>
      <c r="Q605" s="468">
        <v>0</v>
      </c>
      <c r="R605" s="468">
        <v>0</v>
      </c>
      <c r="S605" s="469">
        <v>0</v>
      </c>
      <c r="T605" s="506"/>
      <c r="U605" s="527"/>
    </row>
    <row r="606" spans="1:21">
      <c r="A606" s="470" t="s">
        <v>72</v>
      </c>
      <c r="B606" s="473"/>
      <c r="C606" s="463">
        <v>7.3692030353274804E-2</v>
      </c>
      <c r="D606" s="464">
        <v>0.11238093030034048</v>
      </c>
      <c r="E606" s="464">
        <v>0.17370305501366204</v>
      </c>
      <c r="F606" s="464">
        <v>0.14985618866138098</v>
      </c>
      <c r="G606" s="464">
        <v>0.27094069351035027</v>
      </c>
      <c r="H606" s="464">
        <v>0.31247455655713868</v>
      </c>
      <c r="I606" s="464">
        <v>0.9037080258378396</v>
      </c>
      <c r="J606" s="466">
        <v>0.12697066777678284</v>
      </c>
      <c r="K606" s="463">
        <v>0</v>
      </c>
      <c r="L606" s="464">
        <v>0</v>
      </c>
      <c r="M606" s="464">
        <v>0</v>
      </c>
      <c r="N606" s="464">
        <v>0</v>
      </c>
      <c r="O606" s="463">
        <v>0</v>
      </c>
      <c r="P606" s="463">
        <v>0</v>
      </c>
      <c r="Q606" s="464">
        <v>0</v>
      </c>
      <c r="R606" s="464">
        <v>0</v>
      </c>
      <c r="S606" s="465">
        <v>0</v>
      </c>
      <c r="T606" s="506"/>
      <c r="U606" s="527"/>
    </row>
    <row r="607" spans="1:21">
      <c r="A607" s="470" t="s">
        <v>74</v>
      </c>
      <c r="B607" s="473"/>
      <c r="C607" s="463">
        <v>8.3232633996017255E-2</v>
      </c>
      <c r="D607" s="464">
        <v>9.2739072096302749E-2</v>
      </c>
      <c r="E607" s="464">
        <v>0.18909214388993559</v>
      </c>
      <c r="F607" s="464">
        <v>0.1838522109162625</v>
      </c>
      <c r="G607" s="464">
        <v>0.31845840930816233</v>
      </c>
      <c r="H607" s="464">
        <v>0.29485290623069244</v>
      </c>
      <c r="I607" s="464">
        <v>0.94038613834348295</v>
      </c>
      <c r="J607" s="466">
        <v>0.13728699797516156</v>
      </c>
      <c r="K607" s="463">
        <v>0</v>
      </c>
      <c r="L607" s="464">
        <v>0</v>
      </c>
      <c r="M607" s="464">
        <v>0</v>
      </c>
      <c r="N607" s="464">
        <v>0</v>
      </c>
      <c r="O607" s="463">
        <v>0</v>
      </c>
      <c r="P607" s="463">
        <v>0</v>
      </c>
      <c r="Q607" s="464">
        <v>0</v>
      </c>
      <c r="R607" s="464">
        <v>0</v>
      </c>
      <c r="S607" s="465">
        <v>0</v>
      </c>
      <c r="T607" s="506"/>
      <c r="U607" s="527"/>
    </row>
    <row r="608" spans="1:21">
      <c r="A608" s="470" t="s">
        <v>100</v>
      </c>
      <c r="B608" s="473"/>
      <c r="C608" s="467">
        <v>0.95406036427424512</v>
      </c>
      <c r="D608" s="482">
        <v>-1.964185820403773</v>
      </c>
      <c r="E608" s="468">
        <v>1.5389088876273549</v>
      </c>
      <c r="F608" s="468">
        <v>3.3996022254881519</v>
      </c>
      <c r="G608" s="468">
        <v>4.7517715797812059</v>
      </c>
      <c r="H608" s="468">
        <v>-1.7621650326446248</v>
      </c>
      <c r="I608" s="468">
        <v>3.6678112505643345</v>
      </c>
      <c r="J608" s="474">
        <v>1.0316330198378716</v>
      </c>
      <c r="K608" s="467">
        <v>0</v>
      </c>
      <c r="L608" s="468">
        <v>0</v>
      </c>
      <c r="M608" s="468">
        <v>0</v>
      </c>
      <c r="N608" s="468">
        <v>0</v>
      </c>
      <c r="O608" s="467">
        <v>0</v>
      </c>
      <c r="P608" s="467">
        <v>0</v>
      </c>
      <c r="Q608" s="468">
        <v>0</v>
      </c>
      <c r="R608" s="468">
        <v>0</v>
      </c>
      <c r="S608" s="469">
        <v>0</v>
      </c>
      <c r="T608" s="506"/>
      <c r="U608" s="527"/>
    </row>
    <row r="609" spans="1:21">
      <c r="A609" s="470" t="s">
        <v>76</v>
      </c>
      <c r="B609" s="473"/>
      <c r="C609" s="463">
        <v>1.1275176804044312E-2</v>
      </c>
      <c r="D609" s="464">
        <v>4.6711534470043233E-3</v>
      </c>
      <c r="E609" s="464">
        <v>1.2971585794004523E-2</v>
      </c>
      <c r="F609" s="464">
        <v>1.625883654041238E-2</v>
      </c>
      <c r="G609" s="464">
        <v>5.1586261779291737E-2</v>
      </c>
      <c r="H609" s="464">
        <v>1.116603663855772E-2</v>
      </c>
      <c r="I609" s="464">
        <v>0</v>
      </c>
      <c r="J609" s="466">
        <v>1.2142319504506394E-2</v>
      </c>
      <c r="K609" s="463">
        <v>0</v>
      </c>
      <c r="L609" s="464">
        <v>0</v>
      </c>
      <c r="M609" s="464">
        <v>0</v>
      </c>
      <c r="N609" s="464">
        <v>0</v>
      </c>
      <c r="O609" s="463">
        <v>0</v>
      </c>
      <c r="P609" s="463">
        <v>0</v>
      </c>
      <c r="Q609" s="464">
        <v>0</v>
      </c>
      <c r="R609" s="464">
        <v>0</v>
      </c>
      <c r="S609" s="465">
        <v>0</v>
      </c>
      <c r="T609" s="506"/>
      <c r="U609" s="527"/>
    </row>
    <row r="610" spans="1:21">
      <c r="A610" s="470" t="s">
        <v>78</v>
      </c>
      <c r="B610" s="473"/>
      <c r="C610" s="463">
        <v>3.3933328160865237E-3</v>
      </c>
      <c r="D610" s="464">
        <v>4.2506623429135844E-3</v>
      </c>
      <c r="E610" s="464">
        <v>1.0001697848661438E-2</v>
      </c>
      <c r="F610" s="464">
        <v>6.7715816320848233E-3</v>
      </c>
      <c r="G610" s="464">
        <v>5.2419473699725015E-2</v>
      </c>
      <c r="H610" s="464">
        <v>1.4780666318140772E-2</v>
      </c>
      <c r="I610" s="464">
        <v>0</v>
      </c>
      <c r="J610" s="466">
        <v>6.8241014822041464E-3</v>
      </c>
      <c r="K610" s="463">
        <v>0</v>
      </c>
      <c r="L610" s="464">
        <v>0</v>
      </c>
      <c r="M610" s="464">
        <v>0</v>
      </c>
      <c r="N610" s="464">
        <v>0</v>
      </c>
      <c r="O610" s="463">
        <v>0</v>
      </c>
      <c r="P610" s="463">
        <v>0</v>
      </c>
      <c r="Q610" s="464">
        <v>0</v>
      </c>
      <c r="R610" s="464">
        <v>0</v>
      </c>
      <c r="S610" s="465">
        <v>0</v>
      </c>
      <c r="T610" s="506"/>
      <c r="U610" s="527"/>
    </row>
    <row r="611" spans="1:21">
      <c r="A611" s="470" t="s">
        <v>102</v>
      </c>
      <c r="B611" s="473"/>
      <c r="C611" s="467">
        <v>-0.78818439879577884</v>
      </c>
      <c r="D611" s="468">
        <v>-4.2049110409073887E-2</v>
      </c>
      <c r="E611" s="468">
        <v>-0.29698879453430843</v>
      </c>
      <c r="F611" s="468">
        <v>-0.94872549083275559</v>
      </c>
      <c r="G611" s="468">
        <v>8.3321192043327857E-2</v>
      </c>
      <c r="H611" s="468">
        <v>0.36146296795830524</v>
      </c>
      <c r="I611" s="468">
        <v>0</v>
      </c>
      <c r="J611" s="474">
        <v>-0.53182180223022468</v>
      </c>
      <c r="K611" s="467">
        <v>0</v>
      </c>
      <c r="L611" s="468">
        <v>0</v>
      </c>
      <c r="M611" s="468">
        <v>0</v>
      </c>
      <c r="N611" s="468">
        <v>0</v>
      </c>
      <c r="O611" s="467">
        <v>0</v>
      </c>
      <c r="P611" s="467">
        <v>0</v>
      </c>
      <c r="Q611" s="468">
        <v>0</v>
      </c>
      <c r="R611" s="468">
        <v>0</v>
      </c>
      <c r="S611" s="469">
        <v>0</v>
      </c>
      <c r="T611" s="506"/>
      <c r="U611" s="527"/>
    </row>
    <row r="612" spans="1:21">
      <c r="A612" s="470" t="s">
        <v>80</v>
      </c>
      <c r="B612" s="473"/>
      <c r="C612" s="463">
        <v>1.010976453117419E-2</v>
      </c>
      <c r="D612" s="464">
        <v>2.3515851671281514E-3</v>
      </c>
      <c r="E612" s="464">
        <v>4.1269344016150802E-3</v>
      </c>
      <c r="F612" s="464">
        <v>1.1496950722239239E-3</v>
      </c>
      <c r="G612" s="464">
        <v>5.4007628031560251E-3</v>
      </c>
      <c r="H612" s="464">
        <v>1.3375981389938936E-3</v>
      </c>
      <c r="I612" s="464">
        <v>0</v>
      </c>
      <c r="J612" s="466">
        <v>6.8127700827420555E-3</v>
      </c>
      <c r="K612" s="463">
        <v>0</v>
      </c>
      <c r="L612" s="464">
        <v>0</v>
      </c>
      <c r="M612" s="464">
        <v>0</v>
      </c>
      <c r="N612" s="464">
        <v>0</v>
      </c>
      <c r="O612" s="463">
        <v>0</v>
      </c>
      <c r="P612" s="463">
        <v>0</v>
      </c>
      <c r="Q612" s="464">
        <v>0</v>
      </c>
      <c r="R612" s="464">
        <v>0</v>
      </c>
      <c r="S612" s="465">
        <v>0</v>
      </c>
      <c r="T612" s="506"/>
      <c r="U612" s="527"/>
    </row>
    <row r="613" spans="1:21">
      <c r="A613" s="470" t="s">
        <v>82</v>
      </c>
      <c r="B613" s="473"/>
      <c r="C613" s="463">
        <v>1.6818551514423585E-2</v>
      </c>
      <c r="D613" s="464">
        <v>3.5123788219248078E-3</v>
      </c>
      <c r="E613" s="464">
        <v>3.6308219778293828E-2</v>
      </c>
      <c r="F613" s="464">
        <v>3.3823639022609918E-3</v>
      </c>
      <c r="G613" s="464">
        <v>8.4010965641831137E-3</v>
      </c>
      <c r="H613" s="464">
        <v>0</v>
      </c>
      <c r="I613" s="464">
        <v>0</v>
      </c>
      <c r="J613" s="466">
        <v>1.815896270018608E-2</v>
      </c>
      <c r="K613" s="463">
        <v>0</v>
      </c>
      <c r="L613" s="464">
        <v>0</v>
      </c>
      <c r="M613" s="464">
        <v>0</v>
      </c>
      <c r="N613" s="464">
        <v>0</v>
      </c>
      <c r="O613" s="463">
        <v>0</v>
      </c>
      <c r="P613" s="463">
        <v>0</v>
      </c>
      <c r="Q613" s="464">
        <v>0</v>
      </c>
      <c r="R613" s="464">
        <v>0</v>
      </c>
      <c r="S613" s="465">
        <v>0</v>
      </c>
      <c r="T613" s="506"/>
      <c r="U613" s="527"/>
    </row>
    <row r="614" spans="1:21">
      <c r="A614" s="470" t="s">
        <v>108</v>
      </c>
      <c r="B614" s="473"/>
      <c r="C614" s="467">
        <v>0.67087869832493952</v>
      </c>
      <c r="D614" s="468">
        <v>0.11607936547966563</v>
      </c>
      <c r="E614" s="468">
        <v>3.2181285376678748</v>
      </c>
      <c r="F614" s="468">
        <v>0.22326688300370678</v>
      </c>
      <c r="G614" s="468">
        <v>0.30003337610270886</v>
      </c>
      <c r="H614" s="468">
        <v>-0.13375981389938937</v>
      </c>
      <c r="I614" s="468">
        <v>0</v>
      </c>
      <c r="J614" s="474">
        <v>1.1346192617444024</v>
      </c>
      <c r="K614" s="467">
        <v>0</v>
      </c>
      <c r="L614" s="468">
        <v>0</v>
      </c>
      <c r="M614" s="468">
        <v>0</v>
      </c>
      <c r="N614" s="468">
        <v>0</v>
      </c>
      <c r="O614" s="467">
        <v>0</v>
      </c>
      <c r="P614" s="467">
        <v>0</v>
      </c>
      <c r="Q614" s="468">
        <v>0</v>
      </c>
      <c r="R614" s="468">
        <v>0</v>
      </c>
      <c r="S614" s="469">
        <v>0</v>
      </c>
      <c r="T614" s="506"/>
      <c r="U614" s="527"/>
    </row>
    <row r="615" spans="1:21">
      <c r="A615" s="470" t="s">
        <v>84</v>
      </c>
      <c r="B615" s="473"/>
      <c r="C615" s="463">
        <v>1.4687826537089058E-5</v>
      </c>
      <c r="D615" s="464">
        <v>0</v>
      </c>
      <c r="E615" s="464">
        <v>4.9363729999382952E-5</v>
      </c>
      <c r="F615" s="464">
        <v>0</v>
      </c>
      <c r="G615" s="464">
        <v>1.0190118496520803E-4</v>
      </c>
      <c r="H615" s="464">
        <v>0</v>
      </c>
      <c r="I615" s="464">
        <v>0</v>
      </c>
      <c r="J615" s="466">
        <v>2.1757011172126343E-5</v>
      </c>
      <c r="K615" s="463">
        <v>0</v>
      </c>
      <c r="L615" s="464">
        <v>0</v>
      </c>
      <c r="M615" s="464">
        <v>0</v>
      </c>
      <c r="N615" s="464">
        <v>0</v>
      </c>
      <c r="O615" s="463">
        <v>0</v>
      </c>
      <c r="P615" s="463">
        <v>0</v>
      </c>
      <c r="Q615" s="464">
        <v>0</v>
      </c>
      <c r="R615" s="464">
        <v>0</v>
      </c>
      <c r="S615" s="465">
        <v>0</v>
      </c>
      <c r="T615" s="506"/>
      <c r="U615" s="527"/>
    </row>
    <row r="616" spans="1:21">
      <c r="A616" s="470" t="s">
        <v>86</v>
      </c>
      <c r="B616" s="473"/>
      <c r="C616" s="463">
        <v>4.8818513581291362E-4</v>
      </c>
      <c r="D616" s="464">
        <v>7.5125880357836163E-3</v>
      </c>
      <c r="E616" s="464">
        <v>5.192130745300793E-3</v>
      </c>
      <c r="F616" s="464">
        <v>3.1013569721845976E-3</v>
      </c>
      <c r="G616" s="464">
        <v>0</v>
      </c>
      <c r="H616" s="464">
        <v>0</v>
      </c>
      <c r="I616" s="464">
        <v>0</v>
      </c>
      <c r="J616" s="466">
        <v>2.6867799930124746E-3</v>
      </c>
      <c r="K616" s="463">
        <v>0</v>
      </c>
      <c r="L616" s="464">
        <v>0</v>
      </c>
      <c r="M616" s="464">
        <v>0</v>
      </c>
      <c r="N616" s="464">
        <v>0</v>
      </c>
      <c r="O616" s="463">
        <v>0</v>
      </c>
      <c r="P616" s="463">
        <v>0</v>
      </c>
      <c r="Q616" s="464">
        <v>0</v>
      </c>
      <c r="R616" s="464">
        <v>0</v>
      </c>
      <c r="S616" s="465">
        <v>0</v>
      </c>
      <c r="T616" s="506"/>
      <c r="U616" s="527"/>
    </row>
    <row r="617" spans="1:21">
      <c r="A617" s="470" t="s">
        <v>110</v>
      </c>
      <c r="B617" s="473"/>
      <c r="C617" s="470">
        <v>4.7349730927582462E-2</v>
      </c>
      <c r="D617" s="471">
        <v>0</v>
      </c>
      <c r="E617" s="471">
        <v>0.51427670153014093</v>
      </c>
      <c r="F617" s="471">
        <v>0</v>
      </c>
      <c r="G617" s="471">
        <v>-1.0190118496520802E-2</v>
      </c>
      <c r="H617" s="471">
        <v>0</v>
      </c>
      <c r="I617" s="471">
        <v>0</v>
      </c>
      <c r="J617" s="475">
        <v>0.26650229818403481</v>
      </c>
      <c r="K617" s="470">
        <v>0</v>
      </c>
      <c r="L617" s="471">
        <v>0</v>
      </c>
      <c r="M617" s="471">
        <v>0</v>
      </c>
      <c r="N617" s="471">
        <v>0</v>
      </c>
      <c r="O617" s="470">
        <v>0</v>
      </c>
      <c r="P617" s="470">
        <v>0</v>
      </c>
      <c r="Q617" s="471">
        <v>0</v>
      </c>
      <c r="R617" s="471">
        <v>0</v>
      </c>
      <c r="S617" s="472">
        <v>0</v>
      </c>
      <c r="T617" s="506"/>
      <c r="U617" s="527"/>
    </row>
    <row r="618" spans="1:21">
      <c r="A618" s="470"/>
      <c r="B618" s="473"/>
      <c r="C618" s="463"/>
      <c r="D618" s="464"/>
      <c r="E618" s="464"/>
      <c r="F618" s="464"/>
      <c r="G618" s="464"/>
      <c r="H618" s="464"/>
      <c r="I618" s="464"/>
      <c r="J618" s="466"/>
      <c r="K618" s="463"/>
      <c r="L618" s="464"/>
      <c r="M618" s="464"/>
      <c r="N618" s="464"/>
      <c r="O618" s="463"/>
      <c r="P618" s="463"/>
      <c r="Q618" s="464"/>
      <c r="R618" s="464"/>
      <c r="S618" s="463"/>
      <c r="T618" s="463"/>
      <c r="U618" s="465"/>
    </row>
    <row r="619" spans="1:21">
      <c r="A619" s="470"/>
      <c r="B619" s="473"/>
      <c r="C619" s="463"/>
      <c r="D619" s="464"/>
      <c r="E619" s="464"/>
      <c r="F619" s="464"/>
      <c r="G619" s="464"/>
      <c r="H619" s="464"/>
      <c r="I619" s="464"/>
      <c r="J619" s="466"/>
      <c r="K619" s="463"/>
      <c r="L619" s="464"/>
      <c r="M619" s="464"/>
      <c r="N619" s="464"/>
      <c r="O619" s="463"/>
      <c r="P619" s="463"/>
      <c r="Q619" s="464"/>
      <c r="R619" s="464"/>
      <c r="S619" s="463"/>
      <c r="T619" s="463"/>
      <c r="U619" s="465"/>
    </row>
    <row r="620" spans="1:21">
      <c r="A620" s="470"/>
      <c r="B620" s="473"/>
      <c r="C620" s="532"/>
      <c r="D620" s="533"/>
      <c r="E620" s="533"/>
      <c r="F620" s="533"/>
      <c r="G620" s="533"/>
      <c r="H620" s="533"/>
      <c r="I620" s="533"/>
      <c r="J620" s="534"/>
      <c r="K620" s="532"/>
      <c r="L620" s="533"/>
      <c r="M620" s="533"/>
      <c r="N620" s="533"/>
      <c r="O620" s="532"/>
      <c r="P620" s="532"/>
      <c r="Q620" s="533"/>
      <c r="R620" s="533"/>
      <c r="S620" s="532"/>
      <c r="T620" s="532"/>
      <c r="U620" s="535"/>
    </row>
    <row r="621" spans="1:21">
      <c r="A621" s="470"/>
      <c r="B621" s="473"/>
      <c r="C621" s="463"/>
      <c r="D621" s="464"/>
      <c r="E621" s="464"/>
      <c r="F621" s="464"/>
      <c r="G621" s="464"/>
      <c r="H621" s="464"/>
      <c r="I621" s="464"/>
      <c r="J621" s="466"/>
      <c r="K621" s="463"/>
      <c r="L621" s="464"/>
      <c r="M621" s="464"/>
      <c r="N621" s="464"/>
      <c r="O621" s="463"/>
      <c r="P621" s="463"/>
      <c r="Q621" s="464"/>
      <c r="R621" s="464"/>
      <c r="S621" s="463"/>
      <c r="T621" s="463"/>
      <c r="U621" s="465"/>
    </row>
    <row r="622" spans="1:21">
      <c r="A622" s="470"/>
      <c r="B622" s="473"/>
      <c r="C622" s="463"/>
      <c r="D622" s="464"/>
      <c r="E622" s="464"/>
      <c r="F622" s="464"/>
      <c r="G622" s="464"/>
      <c r="H622" s="464"/>
      <c r="I622" s="464"/>
      <c r="J622" s="466"/>
      <c r="K622" s="463"/>
      <c r="L622" s="464"/>
      <c r="M622" s="464"/>
      <c r="N622" s="464"/>
      <c r="O622" s="463"/>
      <c r="P622" s="463"/>
      <c r="Q622" s="464"/>
      <c r="R622" s="464"/>
      <c r="S622" s="463"/>
      <c r="T622" s="463"/>
      <c r="U622" s="465"/>
    </row>
    <row r="623" spans="1:21">
      <c r="A623" s="470"/>
      <c r="B623" s="473"/>
      <c r="C623" s="467"/>
      <c r="D623" s="468"/>
      <c r="E623" s="468"/>
      <c r="F623" s="468"/>
      <c r="G623" s="468"/>
      <c r="H623" s="468"/>
      <c r="I623" s="468"/>
      <c r="J623" s="474"/>
      <c r="K623" s="467"/>
      <c r="L623" s="468"/>
      <c r="M623" s="468"/>
      <c r="N623" s="468"/>
      <c r="O623" s="467"/>
      <c r="P623" s="467"/>
      <c r="Q623" s="468"/>
      <c r="R623" s="468"/>
      <c r="S623" s="467"/>
      <c r="T623" s="467"/>
      <c r="U623" s="469"/>
    </row>
    <row r="624" spans="1:21">
      <c r="A624" s="470"/>
      <c r="B624" s="473"/>
      <c r="C624" s="463"/>
      <c r="D624" s="464"/>
      <c r="E624" s="464"/>
      <c r="F624" s="464"/>
      <c r="G624" s="464"/>
      <c r="H624" s="464"/>
      <c r="I624" s="464"/>
      <c r="J624" s="466"/>
      <c r="K624" s="463"/>
      <c r="L624" s="464"/>
      <c r="M624" s="464"/>
      <c r="N624" s="464"/>
      <c r="O624" s="463"/>
      <c r="P624" s="463"/>
      <c r="Q624" s="464"/>
      <c r="R624" s="464"/>
      <c r="S624" s="463"/>
      <c r="T624" s="463"/>
      <c r="U624" s="465"/>
    </row>
    <row r="625" spans="1:21">
      <c r="A625" s="470"/>
      <c r="B625" s="473"/>
      <c r="C625" s="463"/>
      <c r="D625" s="464"/>
      <c r="E625" s="464"/>
      <c r="F625" s="464"/>
      <c r="G625" s="464"/>
      <c r="H625" s="464"/>
      <c r="I625" s="464"/>
      <c r="J625" s="466"/>
      <c r="K625" s="463"/>
      <c r="L625" s="464"/>
      <c r="M625" s="464"/>
      <c r="N625" s="464"/>
      <c r="O625" s="463"/>
      <c r="P625" s="463"/>
      <c r="Q625" s="464"/>
      <c r="R625" s="464"/>
      <c r="S625" s="463"/>
      <c r="T625" s="463"/>
      <c r="U625" s="465"/>
    </row>
    <row r="626" spans="1:21">
      <c r="A626" s="470"/>
      <c r="B626" s="473"/>
      <c r="C626" s="467"/>
      <c r="D626" s="468"/>
      <c r="E626" s="468"/>
      <c r="F626" s="468"/>
      <c r="G626" s="468"/>
      <c r="H626" s="468"/>
      <c r="I626" s="468"/>
      <c r="J626" s="474"/>
      <c r="K626" s="467"/>
      <c r="L626" s="468"/>
      <c r="M626" s="468"/>
      <c r="N626" s="468"/>
      <c r="O626" s="467"/>
      <c r="P626" s="467"/>
      <c r="Q626" s="468"/>
      <c r="R626" s="468"/>
      <c r="S626" s="467"/>
      <c r="T626" s="467"/>
      <c r="U626" s="469"/>
    </row>
    <row r="627" spans="1:21">
      <c r="A627" s="470"/>
      <c r="B627" s="473"/>
      <c r="C627" s="463"/>
      <c r="D627" s="464"/>
      <c r="E627" s="464"/>
      <c r="F627" s="464"/>
      <c r="G627" s="464"/>
      <c r="H627" s="464"/>
      <c r="I627" s="464"/>
      <c r="J627" s="466"/>
      <c r="K627" s="463"/>
      <c r="L627" s="464"/>
      <c r="M627" s="464"/>
      <c r="N627" s="464"/>
      <c r="O627" s="463"/>
      <c r="P627" s="463"/>
      <c r="Q627" s="464"/>
      <c r="R627" s="464"/>
      <c r="S627" s="463"/>
      <c r="T627" s="463"/>
      <c r="U627" s="465"/>
    </row>
    <row r="628" spans="1:21">
      <c r="A628" s="470"/>
      <c r="B628" s="473"/>
      <c r="C628" s="463"/>
      <c r="D628" s="464"/>
      <c r="E628" s="464"/>
      <c r="F628" s="464"/>
      <c r="G628" s="464"/>
      <c r="H628" s="464"/>
      <c r="I628" s="464"/>
      <c r="J628" s="466"/>
      <c r="K628" s="463"/>
      <c r="L628" s="464"/>
      <c r="M628" s="464"/>
      <c r="N628" s="464"/>
      <c r="O628" s="463"/>
      <c r="P628" s="463"/>
      <c r="Q628" s="464"/>
      <c r="R628" s="464"/>
      <c r="S628" s="463"/>
      <c r="T628" s="463"/>
      <c r="U628" s="465"/>
    </row>
    <row r="629" spans="1:21">
      <c r="A629" s="470"/>
      <c r="B629" s="473"/>
      <c r="C629" s="467"/>
      <c r="D629" s="468"/>
      <c r="E629" s="468"/>
      <c r="F629" s="468"/>
      <c r="G629" s="468"/>
      <c r="H629" s="468"/>
      <c r="I629" s="468"/>
      <c r="J629" s="474"/>
      <c r="K629" s="467"/>
      <c r="L629" s="468"/>
      <c r="M629" s="468"/>
      <c r="N629" s="468"/>
      <c r="O629" s="467"/>
      <c r="P629" s="467"/>
      <c r="Q629" s="468"/>
      <c r="R629" s="468"/>
      <c r="S629" s="467"/>
      <c r="T629" s="467"/>
      <c r="U629" s="469"/>
    </row>
    <row r="630" spans="1:21">
      <c r="A630" s="470"/>
      <c r="B630" s="473"/>
      <c r="C630" s="463"/>
      <c r="D630" s="464"/>
      <c r="E630" s="464"/>
      <c r="F630" s="464"/>
      <c r="G630" s="464"/>
      <c r="H630" s="464"/>
      <c r="I630" s="464"/>
      <c r="J630" s="466"/>
      <c r="K630" s="463"/>
      <c r="L630" s="464"/>
      <c r="M630" s="464"/>
      <c r="N630" s="464"/>
      <c r="O630" s="463"/>
      <c r="P630" s="463"/>
      <c r="Q630" s="464"/>
      <c r="R630" s="464"/>
      <c r="S630" s="463"/>
      <c r="T630" s="463"/>
      <c r="U630" s="465"/>
    </row>
    <row r="631" spans="1:21">
      <c r="A631" s="470"/>
      <c r="B631" s="473"/>
      <c r="C631" s="463"/>
      <c r="D631" s="464"/>
      <c r="E631" s="464"/>
      <c r="F631" s="464"/>
      <c r="G631" s="464"/>
      <c r="H631" s="464"/>
      <c r="I631" s="464"/>
      <c r="J631" s="466"/>
      <c r="K631" s="463"/>
      <c r="L631" s="464"/>
      <c r="M631" s="464"/>
      <c r="N631" s="464"/>
      <c r="O631" s="463"/>
      <c r="P631" s="463"/>
      <c r="Q631" s="464"/>
      <c r="R631" s="464"/>
      <c r="S631" s="463"/>
      <c r="T631" s="463"/>
      <c r="U631" s="465"/>
    </row>
    <row r="632" spans="1:21">
      <c r="A632" s="470"/>
      <c r="B632" s="473"/>
      <c r="C632" s="467"/>
      <c r="D632" s="468"/>
      <c r="E632" s="468"/>
      <c r="F632" s="468"/>
      <c r="G632" s="468"/>
      <c r="H632" s="468"/>
      <c r="I632" s="468"/>
      <c r="J632" s="474"/>
      <c r="K632" s="467"/>
      <c r="L632" s="468"/>
      <c r="M632" s="468"/>
      <c r="N632" s="468"/>
      <c r="O632" s="467"/>
      <c r="P632" s="467"/>
      <c r="Q632" s="468"/>
      <c r="R632" s="468"/>
      <c r="S632" s="467"/>
      <c r="T632" s="467"/>
      <c r="U632" s="469"/>
    </row>
    <row r="633" spans="1:21">
      <c r="A633" s="470"/>
      <c r="B633" s="473"/>
      <c r="C633" s="463"/>
      <c r="D633" s="464"/>
      <c r="E633" s="464"/>
      <c r="F633" s="464"/>
      <c r="G633" s="464"/>
      <c r="H633" s="464"/>
      <c r="I633" s="464"/>
      <c r="J633" s="466"/>
      <c r="K633" s="463"/>
      <c r="L633" s="464"/>
      <c r="M633" s="464"/>
      <c r="N633" s="464"/>
      <c r="O633" s="463"/>
      <c r="P633" s="463"/>
      <c r="Q633" s="464"/>
      <c r="R633" s="464"/>
      <c r="S633" s="463"/>
      <c r="T633" s="463"/>
      <c r="U633" s="465"/>
    </row>
    <row r="634" spans="1:21">
      <c r="A634" s="470"/>
      <c r="B634" s="473"/>
      <c r="C634" s="463"/>
      <c r="D634" s="464"/>
      <c r="E634" s="464"/>
      <c r="F634" s="464"/>
      <c r="G634" s="464"/>
      <c r="H634" s="464"/>
      <c r="I634" s="464"/>
      <c r="J634" s="466"/>
      <c r="K634" s="463"/>
      <c r="L634" s="464"/>
      <c r="M634" s="464"/>
      <c r="N634" s="464"/>
      <c r="O634" s="463"/>
      <c r="P634" s="463"/>
      <c r="Q634" s="464"/>
      <c r="R634" s="464"/>
      <c r="S634" s="463"/>
      <c r="T634" s="463"/>
      <c r="U634" s="465"/>
    </row>
    <row r="635" spans="1:21">
      <c r="A635" s="470"/>
      <c r="B635" s="473"/>
      <c r="C635" s="467"/>
      <c r="D635" s="468"/>
      <c r="E635" s="468"/>
      <c r="F635" s="468"/>
      <c r="G635" s="468"/>
      <c r="H635" s="468"/>
      <c r="I635" s="468"/>
      <c r="J635" s="474"/>
      <c r="K635" s="467"/>
      <c r="L635" s="468"/>
      <c r="M635" s="468"/>
      <c r="N635" s="468"/>
      <c r="O635" s="467"/>
      <c r="P635" s="467"/>
      <c r="Q635" s="468"/>
      <c r="R635" s="468"/>
      <c r="S635" s="467"/>
      <c r="T635" s="467"/>
      <c r="U635" s="469"/>
    </row>
    <row r="636" spans="1:21">
      <c r="A636" s="470"/>
      <c r="B636" s="473"/>
      <c r="C636" s="463"/>
      <c r="D636" s="464"/>
      <c r="E636" s="464"/>
      <c r="F636" s="464"/>
      <c r="G636" s="464"/>
      <c r="H636" s="464"/>
      <c r="I636" s="464"/>
      <c r="J636" s="466"/>
      <c r="K636" s="463"/>
      <c r="L636" s="464"/>
      <c r="M636" s="464"/>
      <c r="N636" s="464"/>
      <c r="O636" s="463"/>
      <c r="P636" s="463"/>
      <c r="Q636" s="464"/>
      <c r="R636" s="464"/>
      <c r="S636" s="463"/>
      <c r="T636" s="463"/>
      <c r="U636" s="465"/>
    </row>
    <row r="637" spans="1:21">
      <c r="A637" s="470"/>
      <c r="B637" s="473"/>
      <c r="C637" s="463"/>
      <c r="D637" s="464"/>
      <c r="E637" s="464"/>
      <c r="F637" s="464"/>
      <c r="G637" s="464"/>
      <c r="H637" s="464"/>
      <c r="I637" s="464"/>
      <c r="J637" s="466"/>
      <c r="K637" s="463"/>
      <c r="L637" s="464"/>
      <c r="M637" s="464"/>
      <c r="N637" s="464"/>
      <c r="O637" s="463"/>
      <c r="P637" s="463"/>
      <c r="Q637" s="464"/>
      <c r="R637" s="464"/>
      <c r="S637" s="463"/>
      <c r="T637" s="463"/>
      <c r="U637" s="465"/>
    </row>
    <row r="638" spans="1:21">
      <c r="A638" s="470"/>
      <c r="B638" s="473"/>
      <c r="C638" s="467"/>
      <c r="D638" s="468"/>
      <c r="E638" s="468"/>
      <c r="F638" s="468"/>
      <c r="G638" s="468"/>
      <c r="H638" s="468"/>
      <c r="I638" s="468"/>
      <c r="J638" s="474"/>
      <c r="K638" s="467"/>
      <c r="L638" s="468"/>
      <c r="M638" s="468"/>
      <c r="N638" s="468"/>
      <c r="O638" s="467"/>
      <c r="P638" s="467"/>
      <c r="Q638" s="468"/>
      <c r="R638" s="468"/>
      <c r="S638" s="467"/>
      <c r="T638" s="467"/>
      <c r="U638" s="469"/>
    </row>
    <row r="639" spans="1:21">
      <c r="A639" s="470"/>
      <c r="B639" s="473"/>
      <c r="C639" s="463"/>
      <c r="D639" s="464"/>
      <c r="E639" s="464"/>
      <c r="F639" s="464"/>
      <c r="G639" s="464"/>
      <c r="H639" s="464"/>
      <c r="I639" s="464"/>
      <c r="J639" s="466"/>
      <c r="K639" s="463"/>
      <c r="L639" s="464"/>
      <c r="M639" s="464"/>
      <c r="N639" s="464"/>
      <c r="O639" s="463"/>
      <c r="P639" s="463"/>
      <c r="Q639" s="464"/>
      <c r="R639" s="464"/>
      <c r="S639" s="463"/>
      <c r="T639" s="463"/>
      <c r="U639" s="465"/>
    </row>
    <row r="640" spans="1:21">
      <c r="A640" s="470"/>
      <c r="B640" s="473"/>
      <c r="C640" s="463"/>
      <c r="D640" s="464"/>
      <c r="E640" s="464"/>
      <c r="F640" s="464"/>
      <c r="G640" s="464"/>
      <c r="H640" s="464"/>
      <c r="I640" s="464"/>
      <c r="J640" s="466"/>
      <c r="K640" s="463"/>
      <c r="L640" s="464"/>
      <c r="M640" s="464"/>
      <c r="N640" s="464"/>
      <c r="O640" s="463"/>
      <c r="P640" s="463"/>
      <c r="Q640" s="464"/>
      <c r="R640" s="464"/>
      <c r="S640" s="463"/>
      <c r="T640" s="463"/>
      <c r="U640" s="465"/>
    </row>
    <row r="641" spans="1:21">
      <c r="A641" s="470"/>
      <c r="B641" s="473"/>
      <c r="C641" s="467"/>
      <c r="D641" s="468"/>
      <c r="E641" s="468"/>
      <c r="F641" s="468"/>
      <c r="G641" s="468"/>
      <c r="H641" s="468"/>
      <c r="I641" s="468"/>
      <c r="J641" s="474"/>
      <c r="K641" s="467"/>
      <c r="L641" s="468"/>
      <c r="M641" s="468"/>
      <c r="N641" s="468"/>
      <c r="O641" s="467"/>
      <c r="P641" s="467"/>
      <c r="Q641" s="468"/>
      <c r="R641" s="468"/>
      <c r="S641" s="467"/>
      <c r="T641" s="467"/>
      <c r="U641" s="469"/>
    </row>
    <row r="642" spans="1:21">
      <c r="A642" s="470"/>
      <c r="B642" s="473"/>
      <c r="C642" s="463"/>
      <c r="D642" s="464"/>
      <c r="E642" s="464"/>
      <c r="F642" s="464"/>
      <c r="G642" s="464"/>
      <c r="H642" s="464"/>
      <c r="I642" s="464"/>
      <c r="J642" s="466"/>
      <c r="K642" s="463"/>
      <c r="L642" s="464"/>
      <c r="M642" s="464"/>
      <c r="N642" s="464"/>
      <c r="O642" s="463"/>
      <c r="P642" s="463"/>
      <c r="Q642" s="464"/>
      <c r="R642" s="464"/>
      <c r="S642" s="463"/>
      <c r="T642" s="463"/>
      <c r="U642" s="465"/>
    </row>
    <row r="643" spans="1:21">
      <c r="A643" s="470"/>
      <c r="B643" s="473"/>
      <c r="C643" s="463"/>
      <c r="D643" s="464"/>
      <c r="E643" s="464"/>
      <c r="F643" s="464"/>
      <c r="G643" s="464"/>
      <c r="H643" s="464"/>
      <c r="I643" s="464"/>
      <c r="J643" s="466"/>
      <c r="K643" s="463"/>
      <c r="L643" s="464"/>
      <c r="M643" s="464"/>
      <c r="N643" s="464"/>
      <c r="O643" s="463"/>
      <c r="P643" s="463"/>
      <c r="Q643" s="464"/>
      <c r="R643" s="464"/>
      <c r="S643" s="463"/>
      <c r="T643" s="463"/>
      <c r="U643" s="465"/>
    </row>
    <row r="644" spans="1:21">
      <c r="A644" s="470"/>
      <c r="B644" s="473"/>
      <c r="C644" s="467"/>
      <c r="D644" s="482"/>
      <c r="E644" s="468"/>
      <c r="F644" s="468"/>
      <c r="G644" s="468"/>
      <c r="H644" s="468"/>
      <c r="I644" s="468"/>
      <c r="J644" s="474"/>
      <c r="K644" s="467"/>
      <c r="L644" s="468"/>
      <c r="M644" s="468"/>
      <c r="N644" s="468"/>
      <c r="O644" s="467"/>
      <c r="P644" s="467"/>
      <c r="Q644" s="468"/>
      <c r="R644" s="468"/>
      <c r="S644" s="467"/>
      <c r="T644" s="467"/>
      <c r="U644" s="469"/>
    </row>
    <row r="645" spans="1:21">
      <c r="A645" s="470"/>
      <c r="B645" s="473"/>
      <c r="C645" s="463"/>
      <c r="D645" s="464"/>
      <c r="E645" s="464"/>
      <c r="F645" s="464"/>
      <c r="G645" s="464"/>
      <c r="H645" s="464"/>
      <c r="I645" s="464"/>
      <c r="J645" s="466"/>
      <c r="K645" s="463"/>
      <c r="L645" s="464"/>
      <c r="M645" s="464"/>
      <c r="N645" s="464"/>
      <c r="O645" s="463"/>
      <c r="P645" s="463"/>
      <c r="Q645" s="464"/>
      <c r="R645" s="464"/>
      <c r="S645" s="463"/>
      <c r="T645" s="463"/>
      <c r="U645" s="465"/>
    </row>
    <row r="646" spans="1:21">
      <c r="A646" s="470"/>
      <c r="B646" s="473"/>
      <c r="C646" s="463"/>
      <c r="D646" s="464"/>
      <c r="E646" s="464"/>
      <c r="F646" s="464"/>
      <c r="G646" s="464"/>
      <c r="H646" s="464"/>
      <c r="I646" s="464"/>
      <c r="J646" s="466"/>
      <c r="K646" s="463"/>
      <c r="L646" s="464"/>
      <c r="M646" s="464"/>
      <c r="N646" s="464"/>
      <c r="O646" s="463"/>
      <c r="P646" s="463"/>
      <c r="Q646" s="464"/>
      <c r="R646" s="464"/>
      <c r="S646" s="463"/>
      <c r="T646" s="463"/>
      <c r="U646" s="465"/>
    </row>
    <row r="647" spans="1:21">
      <c r="A647" s="470"/>
      <c r="B647" s="473"/>
      <c r="C647" s="467"/>
      <c r="D647" s="468"/>
      <c r="E647" s="468"/>
      <c r="F647" s="468"/>
      <c r="G647" s="468"/>
      <c r="H647" s="468"/>
      <c r="I647" s="468"/>
      <c r="J647" s="474"/>
      <c r="K647" s="467"/>
      <c r="L647" s="468"/>
      <c r="M647" s="468"/>
      <c r="N647" s="468"/>
      <c r="O647" s="467"/>
      <c r="P647" s="467"/>
      <c r="Q647" s="468"/>
      <c r="R647" s="468"/>
      <c r="S647" s="467"/>
      <c r="T647" s="467"/>
      <c r="U647" s="469"/>
    </row>
    <row r="648" spans="1:21">
      <c r="A648" s="470"/>
      <c r="B648" s="473"/>
      <c r="C648" s="463"/>
      <c r="D648" s="464"/>
      <c r="E648" s="464"/>
      <c r="F648" s="464"/>
      <c r="G648" s="464"/>
      <c r="H648" s="464"/>
      <c r="I648" s="464"/>
      <c r="J648" s="466"/>
      <c r="K648" s="463"/>
      <c r="L648" s="464"/>
      <c r="M648" s="464"/>
      <c r="N648" s="464"/>
      <c r="O648" s="463"/>
      <c r="P648" s="463"/>
      <c r="Q648" s="464"/>
      <c r="R648" s="464"/>
      <c r="S648" s="463"/>
      <c r="T648" s="463"/>
      <c r="U648" s="465"/>
    </row>
    <row r="649" spans="1:21">
      <c r="A649" s="470"/>
      <c r="B649" s="473"/>
      <c r="C649" s="463"/>
      <c r="D649" s="464"/>
      <c r="E649" s="464"/>
      <c r="F649" s="464"/>
      <c r="G649" s="464"/>
      <c r="H649" s="464"/>
      <c r="I649" s="464"/>
      <c r="J649" s="466"/>
      <c r="K649" s="463"/>
      <c r="L649" s="464"/>
      <c r="M649" s="464"/>
      <c r="N649" s="464"/>
      <c r="O649" s="463"/>
      <c r="P649" s="463"/>
      <c r="Q649" s="464"/>
      <c r="R649" s="464"/>
      <c r="S649" s="463"/>
      <c r="T649" s="463"/>
      <c r="U649" s="465"/>
    </row>
    <row r="650" spans="1:21">
      <c r="A650" s="470"/>
      <c r="B650" s="473"/>
      <c r="C650" s="467"/>
      <c r="D650" s="468"/>
      <c r="E650" s="468"/>
      <c r="F650" s="468"/>
      <c r="G650" s="468"/>
      <c r="H650" s="468"/>
      <c r="I650" s="468"/>
      <c r="J650" s="474"/>
      <c r="K650" s="467"/>
      <c r="L650" s="468"/>
      <c r="M650" s="468"/>
      <c r="N650" s="468"/>
      <c r="O650" s="467"/>
      <c r="P650" s="467"/>
      <c r="Q650" s="468"/>
      <c r="R650" s="468"/>
      <c r="S650" s="467"/>
      <c r="T650" s="467"/>
      <c r="U650" s="469"/>
    </row>
    <row r="651" spans="1:21">
      <c r="A651" s="470"/>
      <c r="B651" s="473"/>
      <c r="C651" s="463"/>
      <c r="D651" s="464"/>
      <c r="E651" s="464"/>
      <c r="F651" s="464"/>
      <c r="G651" s="464"/>
      <c r="H651" s="464"/>
      <c r="I651" s="464"/>
      <c r="J651" s="466"/>
      <c r="K651" s="463"/>
      <c r="L651" s="464"/>
      <c r="M651" s="464"/>
      <c r="N651" s="464"/>
      <c r="O651" s="463"/>
      <c r="P651" s="463"/>
      <c r="Q651" s="464"/>
      <c r="R651" s="464"/>
      <c r="S651" s="463"/>
      <c r="T651" s="463"/>
      <c r="U651" s="465"/>
    </row>
    <row r="652" spans="1:21">
      <c r="A652" s="470"/>
      <c r="B652" s="473"/>
      <c r="C652" s="463"/>
      <c r="D652" s="464"/>
      <c r="E652" s="464"/>
      <c r="F652" s="464"/>
      <c r="G652" s="464"/>
      <c r="H652" s="464"/>
      <c r="I652" s="464"/>
      <c r="J652" s="466"/>
      <c r="K652" s="463"/>
      <c r="L652" s="464"/>
      <c r="M652" s="464"/>
      <c r="N652" s="464"/>
      <c r="O652" s="463"/>
      <c r="P652" s="463"/>
      <c r="Q652" s="464"/>
      <c r="R652" s="464"/>
      <c r="S652" s="463"/>
      <c r="T652" s="463"/>
      <c r="U652" s="465"/>
    </row>
    <row r="653" spans="1:21">
      <c r="A653" s="470"/>
      <c r="B653" s="473"/>
      <c r="C653" s="470"/>
      <c r="D653" s="471"/>
      <c r="E653" s="471"/>
      <c r="F653" s="471"/>
      <c r="G653" s="471"/>
      <c r="H653" s="471"/>
      <c r="I653" s="471"/>
      <c r="J653" s="475"/>
      <c r="K653" s="470"/>
      <c r="L653" s="471"/>
      <c r="M653" s="471"/>
      <c r="N653" s="471"/>
      <c r="O653" s="470"/>
      <c r="P653" s="470"/>
      <c r="Q653" s="471"/>
      <c r="R653" s="471"/>
      <c r="S653" s="470"/>
      <c r="T653" s="470"/>
      <c r="U653" s="472"/>
    </row>
  </sheetData>
  <phoneticPr fontId="2" type="noConversion"/>
  <conditionalFormatting pivot="1" sqref="J617 O617 S617 J584 O584 S584 J587 O587 S587 J590 O590 S590 J593 O593 S593 J596 O596 S596 J599 O599 S599 J602 O602 S602 J605 O605 S605 J608 O608 S608 J611 O611 S611 J614 O614 S614">
    <cfRule type="cellIs" dxfId="1597" priority="921" stopIfTrue="1" operator="greaterThanOrEqual">
      <formula>15</formula>
    </cfRule>
  </conditionalFormatting>
  <conditionalFormatting pivot="1" sqref="J617 O617 S617 J584 O584 S584 J587 O587 S587 J590 O590 S590 J593 O593 S593 J596 O596 S596 J599 O599 S599 J602 O602 S602 J605 O605 S605 J608 O608 S608 J611 O611 S611 J614 O614 S614">
    <cfRule type="cellIs" dxfId="1596" priority="922" stopIfTrue="1" operator="lessThanOrEqual">
      <formula>-15</formula>
    </cfRule>
  </conditionalFormatting>
  <conditionalFormatting pivot="1" sqref="J8 O8 S8 J11 O11 S11 J14 O14 S14 J17 O17 S17 J20 O20 S20 J23 O23 S23 J26 O26 S26 J29 O29 S29 J32 O32 S32 J35 O35 S35 J38 O38 S38 J41 O41 S41 J44 O44 S44 J47 O47 S47 J50 O50 S50 J53 O53 S53 J56 O56 S56 J59 O59 S59 J62 O62 S62 J65 O65 S65 J68 O68 S68 J71 O71 S71 J74 O74 S74 J77 O77 S77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95" priority="923" stopIfTrue="1" operator="greaterThanOrEqual">
      <formula>5</formula>
    </cfRule>
  </conditionalFormatting>
  <conditionalFormatting pivot="1" sqref="J8 O8 S8 J11 O11 S11 J14 O14 S14 J17 O17 S17 J20 O20 S20 J23 O23 S23 J26 O26 S26 J29 O29 S29 J32 O32 S32 J35 O35 S35 J38 O38 S38 J41 O41 S41 J44 O44 S44 J47 O47 S47 J50 O50 S50 J53 O53 S53 J56 O56 S56 J59 O59 S59 J62 O62 S62 J65 O65 S65 J68 O68 S68 J71 O71 S71 J74 O74 S74 J77 O77 S77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94" priority="924" stopIfTrue="1" operator="lessThanOrEqual">
      <formula>-5</formula>
    </cfRule>
  </conditionalFormatting>
  <conditionalFormatting pivot="1" sqref="C617:S617 C584:S584 C587:S587 C590:S590 C593:S593 C596:S596 C599:S599 C602:S602 C605:S605 C608:S608 C611:S611 C614:S614">
    <cfRule type="cellIs" dxfId="1593" priority="919" stopIfTrue="1" operator="greaterThanOrEqual">
      <formula>15</formula>
    </cfRule>
    <cfRule type="cellIs" dxfId="1592" priority="920"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91" priority="917" stopIfTrue="1" operator="greaterThanOrEqual">
      <formula>5</formula>
    </cfRule>
    <cfRule type="cellIs" dxfId="1590" priority="918" stopIfTrue="1" operator="lessThanOrEqual">
      <formula>-5</formula>
    </cfRule>
  </conditionalFormatting>
  <conditionalFormatting pivot="1" sqref="C617:S617 C584:S584 C587:S587 C590:S590 C593:S593 C596:S596 C599:S599 C602:S602 C605:S605 C608:S608 C611:S611 C614:S614">
    <cfRule type="cellIs" dxfId="1589" priority="915" stopIfTrue="1" operator="greaterThanOrEqual">
      <formula>15</formula>
    </cfRule>
    <cfRule type="cellIs" dxfId="1588" priority="916"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87" priority="913" stopIfTrue="1" operator="greaterThanOrEqual">
      <formula>5</formula>
    </cfRule>
    <cfRule type="cellIs" dxfId="1586" priority="914" stopIfTrue="1" operator="lessThanOrEqual">
      <formula>-5</formula>
    </cfRule>
  </conditionalFormatting>
  <conditionalFormatting pivot="1" sqref="C617:S617 C584:S584 C587:S587 C590:S590 C593:S593 C596:S596 C599:S599 C602:S602 C605:S605 C608:S608 C611:S611 C614:S614">
    <cfRule type="cellIs" dxfId="1585" priority="911" stopIfTrue="1" operator="greaterThanOrEqual">
      <formula>15</formula>
    </cfRule>
    <cfRule type="cellIs" dxfId="1584" priority="912"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83" priority="909" stopIfTrue="1" operator="greaterThanOrEqual">
      <formula>5</formula>
    </cfRule>
    <cfRule type="cellIs" dxfId="1582" priority="910" stopIfTrue="1" operator="lessThanOrEqual">
      <formula>-5</formula>
    </cfRule>
  </conditionalFormatting>
  <conditionalFormatting pivot="1" sqref="C617:S617 C584:S584 C587:S587 C590:S590 C593:S593 C596:S596 C599:S599 C602:S602 C605:S605 C608:S608 C611:S611 C614:S614">
    <cfRule type="cellIs" dxfId="1581" priority="907" stopIfTrue="1" operator="greaterThanOrEqual">
      <formula>15</formula>
    </cfRule>
    <cfRule type="cellIs" dxfId="1580" priority="908"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79" priority="905" stopIfTrue="1" operator="greaterThanOrEqual">
      <formula>5</formula>
    </cfRule>
    <cfRule type="cellIs" dxfId="1578" priority="906" stopIfTrue="1" operator="lessThanOrEqual">
      <formula>-5</formula>
    </cfRule>
  </conditionalFormatting>
  <conditionalFormatting pivot="1" sqref="C617:S617 C584:S584 C587:S587 C590:S590 C593:S593 C596:S596 C599:S599 C602:S602 C605:S605 C608:S608 C611:S611 C614:S614">
    <cfRule type="cellIs" dxfId="1577" priority="903" stopIfTrue="1" operator="greaterThanOrEqual">
      <formula>15</formula>
    </cfRule>
    <cfRule type="cellIs" dxfId="1576" priority="904"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75" priority="901" stopIfTrue="1" operator="greaterThanOrEqual">
      <formula>5</formula>
    </cfRule>
    <cfRule type="cellIs" dxfId="1574" priority="902" stopIfTrue="1" operator="lessThanOrEqual">
      <formula>-5</formula>
    </cfRule>
  </conditionalFormatting>
  <conditionalFormatting pivot="1" sqref="J617 O617 S617 J584 O584 S584 J587 O587 S587 J590 O590 S590 J593 O593 S593 J596 O596 S596 J599 O599 S599 J602 O602 S602 J605 O605 S605 J608 O608 S608 J611 O611 S611 J614 O614 S614">
    <cfRule type="cellIs" dxfId="1573" priority="900" stopIfTrue="1" operator="greaterThanOrEqual">
      <formula>15</formula>
    </cfRule>
  </conditionalFormatting>
  <conditionalFormatting pivot="1" sqref="J617 O617 S617 J584 O584 S584 J587 O587 S587 J590 O590 S590 J593 O593 S593 J596 O596 S596 J599 O599 S599 J602 O602 S602 J605 O605 S605 J608 O608 S608 J611 O611 S611 J614 O614 S614">
    <cfRule type="cellIs" dxfId="1572" priority="899" stopIfTrue="1" operator="lessThanOrEqual">
      <formula>-15</formula>
    </cfRule>
  </conditionalFormatting>
  <conditionalFormatting pivot="1" sqref="J8 O8 S8 J11 O11 S11 J14 O14 S14 J17 O17 S17 J20 O20 S20 J23 O23 S23 J26 O26 S26 J29 O29 S29 J32 O32 S32 J35 O35 S35 J38 O38 S38 J41 O41 S41 J44 O44 S44 J47 O47 S47 J50 O50 S50 J53 O53 S53 J56 O56 S56 J59 O59 S59 J62 O62 S62 J65 O65 S65 J68 O68 S68 J71 O71 S71 J74 O74 S74 J77 O77 S77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71" priority="898" stopIfTrue="1" operator="greaterThanOrEqual">
      <formula>5</formula>
    </cfRule>
  </conditionalFormatting>
  <conditionalFormatting pivot="1" sqref="J8 O8 S8 J11 O11 S11 J14 O14 S14 J17 O17 S17 J20 O20 S20 J23 O23 S23 J26 O26 S26 J29 O29 S29 J32 O32 S32 J35 O35 S35 J38 O38 S38 J41 O41 S41 J44 O44 S44 J47 O47 S47 J50 O50 S50 J53 O53 S53 J56 O56 S56 J59 O59 S59 J62 O62 S62 J65 O65 S65 J68 O68 S68 J71 O71 S71 J74 O74 S74 J77 O77 S77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70" priority="897" stopIfTrue="1" operator="lessThanOrEqual">
      <formula>-5</formula>
    </cfRule>
  </conditionalFormatting>
  <conditionalFormatting pivot="1" sqref="C617:S617 C584:S584 C587:S587 C590:S590 C593:S593 C596:S596 C599:S599 C602:S602 C605:S605 C608:S608 C611:S611 C614:S614">
    <cfRule type="cellIs" dxfId="1569" priority="895" stopIfTrue="1" operator="greaterThanOrEqual">
      <formula>15</formula>
    </cfRule>
    <cfRule type="cellIs" dxfId="1568" priority="896"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67" priority="893" stopIfTrue="1" operator="greaterThanOrEqual">
      <formula>5</formula>
    </cfRule>
    <cfRule type="cellIs" dxfId="1566" priority="894" stopIfTrue="1" operator="lessThanOrEqual">
      <formula>-5</formula>
    </cfRule>
  </conditionalFormatting>
  <conditionalFormatting pivot="1" sqref="C617:S617 C584:S584 C587:S587 C590:S590 C593:S593 C596:S596 C599:S599 C602:S602 C605:S605 C608:S608 C611:S611 C614:S614">
    <cfRule type="cellIs" dxfId="1565" priority="891" stopIfTrue="1" operator="greaterThanOrEqual">
      <formula>15</formula>
    </cfRule>
    <cfRule type="cellIs" dxfId="1564" priority="892"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63" priority="889" stopIfTrue="1" operator="greaterThanOrEqual">
      <formula>5</formula>
    </cfRule>
    <cfRule type="cellIs" dxfId="1562" priority="890" stopIfTrue="1" operator="lessThanOrEqual">
      <formula>-5</formula>
    </cfRule>
  </conditionalFormatting>
  <conditionalFormatting pivot="1" sqref="C617:S617 C584:S584 C587:S587 C590:S590 C593:S593 C596:S596 C599:S599 C602:S602 C605:S605 C608:S608 C611:S611 C614:S614">
    <cfRule type="cellIs" dxfId="1561" priority="887" stopIfTrue="1" operator="greaterThanOrEqual">
      <formula>15</formula>
    </cfRule>
    <cfRule type="cellIs" dxfId="1560" priority="888"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59" priority="885" stopIfTrue="1" operator="greaterThanOrEqual">
      <formula>5</formula>
    </cfRule>
    <cfRule type="cellIs" dxfId="1558" priority="886" stopIfTrue="1" operator="lessThanOrEqual">
      <formula>-5</formula>
    </cfRule>
  </conditionalFormatting>
  <conditionalFormatting pivot="1" sqref="C617:S617 C584:S584 C587:S587 C590:S590 C593:S593 C596:S596 C599:S599 C602:S602 C605:S605 C608:S608 C611:S611 C614:S614">
    <cfRule type="cellIs" dxfId="1557" priority="883" stopIfTrue="1" operator="greaterThanOrEqual">
      <formula>15</formula>
    </cfRule>
    <cfRule type="cellIs" dxfId="1556" priority="884"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55" priority="881" stopIfTrue="1" operator="greaterThanOrEqual">
      <formula>5</formula>
    </cfRule>
    <cfRule type="cellIs" dxfId="1554" priority="882"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553" priority="880"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552" priority="879"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551" priority="877" stopIfTrue="1" operator="greaterThanOrEqual">
      <formula>5</formula>
    </cfRule>
    <cfRule type="cellIs" dxfId="1550" priority="87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549" priority="875" stopIfTrue="1" operator="greaterThanOrEqual">
      <formula>5</formula>
    </cfRule>
    <cfRule type="cellIs" dxfId="1548" priority="87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547" priority="873" stopIfTrue="1" operator="greaterThanOrEqual">
      <formula>5</formula>
    </cfRule>
    <cfRule type="cellIs" dxfId="1546" priority="87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545" priority="871" stopIfTrue="1" operator="greaterThanOrEqual">
      <formula>5</formula>
    </cfRule>
    <cfRule type="cellIs" dxfId="1544" priority="87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543" priority="869" stopIfTrue="1" operator="greaterThanOrEqual">
      <formula>5</formula>
    </cfRule>
    <cfRule type="cellIs" dxfId="1542" priority="870"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541" priority="868"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540" priority="867"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539" priority="865" stopIfTrue="1" operator="greaterThanOrEqual">
      <formula>5</formula>
    </cfRule>
    <cfRule type="cellIs" dxfId="1538" priority="86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537" priority="863" stopIfTrue="1" operator="greaterThanOrEqual">
      <formula>5</formula>
    </cfRule>
    <cfRule type="cellIs" dxfId="1536" priority="86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535" priority="861" stopIfTrue="1" operator="greaterThanOrEqual">
      <formula>5</formula>
    </cfRule>
    <cfRule type="cellIs" dxfId="1534" priority="86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533" priority="859" stopIfTrue="1" operator="greaterThanOrEqual">
      <formula>5</formula>
    </cfRule>
    <cfRule type="cellIs" dxfId="1532" priority="860" stopIfTrue="1" operator="lessThanOrEqual">
      <formula>-5</formula>
    </cfRule>
  </conditionalFormatting>
  <conditionalFormatting pivot="1" sqref="J617 O617 S617 J584 O584 S584 J587 O587 S587 J590 O590 S590 J593 O593 S593 J596 O596 S596 J599 O599 S599 J602 O602 S602 J605 O605 S605 J608 O608 S608 J611 O611 S611 J614 O614 S614">
    <cfRule type="cellIs" dxfId="1531" priority="858" stopIfTrue="1" operator="greaterThanOrEqual">
      <formula>15</formula>
    </cfRule>
  </conditionalFormatting>
  <conditionalFormatting pivot="1" sqref="J617 O617 S617 J584 O584 S584 J587 O587 S587 J590 O590 S590 J593 O593 S593 J596 O596 S596 J599 O599 S599 J602 O602 S602 J605 O605 S605 J608 O608 S608 J611 O611 S611 J614 O614 S614">
    <cfRule type="cellIs" dxfId="1530" priority="857" stopIfTrue="1" operator="lessThanOrEqual">
      <formula>-15</formula>
    </cfRule>
  </conditionalFormatting>
  <conditionalFormatting pivot="1" sqref="J8 O8 S8 J11 O11 S11 J14 O14 S14 J17 O17 S17 J20 O20 S20 J23 O23 S23 J26 O26 S26 J29 O29 S29 J32 O32 S32 J35 O35 S35 J38 O38 S38 J41 O41 S41 J44 O44 S44 J47 O47 S47 J50 O50 S50 J53 O53 S53 J56 O56 S56 J59 O59 S59 J62 O62 S62 J65 O65 S65 J68 O68 S68 J71 O71 S71 J74 O74 S74 J77 O77 S77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29" priority="856" stopIfTrue="1" operator="greaterThanOrEqual">
      <formula>5</formula>
    </cfRule>
  </conditionalFormatting>
  <conditionalFormatting pivot="1" sqref="J8 O8 S8 J11 O11 S11 J14 O14 S14 J17 O17 S17 J20 O20 S20 J23 O23 S23 J26 O26 S26 J29 O29 S29 J32 O32 S32 J35 O35 S35 J38 O38 S38 J41 O41 S41 J44 O44 S44 J47 O47 S47 J50 O50 S50 J53 O53 S53 J56 O56 S56 J59 O59 S59 J62 O62 S62 J65 O65 S65 J68 O68 S68 J71 O71 S71 J74 O74 S74 J77 O77 S77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28" priority="855" stopIfTrue="1" operator="lessThanOrEqual">
      <formula>-5</formula>
    </cfRule>
  </conditionalFormatting>
  <conditionalFormatting pivot="1" sqref="C617:S617 C584:S584 C587:S587 C590:S590 C593:S593 C596:S596 C599:S599 C602:S602 C605:S605 C608:S608 C611:S611 C614:S614">
    <cfRule type="cellIs" dxfId="1527" priority="853" stopIfTrue="1" operator="greaterThanOrEqual">
      <formula>15</formula>
    </cfRule>
    <cfRule type="cellIs" dxfId="1526" priority="854"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25" priority="851" stopIfTrue="1" operator="greaterThanOrEqual">
      <formula>5</formula>
    </cfRule>
    <cfRule type="cellIs" dxfId="1524" priority="852" stopIfTrue="1" operator="lessThanOrEqual">
      <formula>-5</formula>
    </cfRule>
  </conditionalFormatting>
  <conditionalFormatting pivot="1" sqref="C617:S617 C584:S584 C587:S587 C590:S590 C593:S593 C596:S596 C599:S599 C602:S602 C605:S605 C608:S608 C611:S611 C614:S614">
    <cfRule type="cellIs" dxfId="1523" priority="849" stopIfTrue="1" operator="greaterThanOrEqual">
      <formula>15</formula>
    </cfRule>
    <cfRule type="cellIs" dxfId="1522" priority="850"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21" priority="847" stopIfTrue="1" operator="greaterThanOrEqual">
      <formula>5</formula>
    </cfRule>
    <cfRule type="cellIs" dxfId="1520" priority="848" stopIfTrue="1" operator="lessThanOrEqual">
      <formula>-5</formula>
    </cfRule>
  </conditionalFormatting>
  <conditionalFormatting pivot="1" sqref="C617:S617 C584:S584 C587:S587 C590:S590 C593:S593 C596:S596 C599:S599 C602:S602 C605:S605 C608:S608 C611:S611 C614:S614">
    <cfRule type="cellIs" dxfId="1519" priority="845" stopIfTrue="1" operator="greaterThanOrEqual">
      <formula>15</formula>
    </cfRule>
    <cfRule type="cellIs" dxfId="1518" priority="846"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17" priority="843" stopIfTrue="1" operator="greaterThanOrEqual">
      <formula>5</formula>
    </cfRule>
    <cfRule type="cellIs" dxfId="1516" priority="844" stopIfTrue="1" operator="lessThanOrEqual">
      <formula>-5</formula>
    </cfRule>
  </conditionalFormatting>
  <conditionalFormatting pivot="1" sqref="C617:S617 C584:S584 C587:S587 C590:S590 C593:S593 C596:S596 C599:S599 C602:S602 C605:S605 C608:S608 C611:S611 C614:S614">
    <cfRule type="cellIs" dxfId="1515" priority="841" stopIfTrue="1" operator="greaterThanOrEqual">
      <formula>15</formula>
    </cfRule>
    <cfRule type="cellIs" dxfId="1514" priority="842"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13" priority="839" stopIfTrue="1" operator="greaterThanOrEqual">
      <formula>5</formula>
    </cfRule>
    <cfRule type="cellIs" dxfId="1512" priority="840" stopIfTrue="1" operator="lessThanOrEqual">
      <formula>-5</formula>
    </cfRule>
  </conditionalFormatting>
  <conditionalFormatting pivot="1" sqref="C617:S617 C584:S584 C587:S587 C590:S590 C593:S593 C596:S596 C599:S599 C602:S602 C605:S605 C608:S608 C611:S611 C614:S614">
    <cfRule type="cellIs" dxfId="1511" priority="837" stopIfTrue="1" operator="greaterThanOrEqual">
      <formula>15</formula>
    </cfRule>
    <cfRule type="cellIs" dxfId="1510" priority="838"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09" priority="835" stopIfTrue="1" operator="greaterThanOrEqual">
      <formula>5</formula>
    </cfRule>
    <cfRule type="cellIs" dxfId="1508" priority="836" stopIfTrue="1" operator="lessThanOrEqual">
      <formula>-5</formula>
    </cfRule>
  </conditionalFormatting>
  <conditionalFormatting pivot="1" sqref="J617 O617 S617 J584 O584 S584 J587 O587 S587 J590 O590 S590 J593 O593 S593 J596 O596 S596 J599 O599 S599 J602 O602 S602 J605 O605 S605 J608 O608 S608 J611 O611 S611 J614 O614 S614">
    <cfRule type="cellIs" dxfId="1507" priority="834" stopIfTrue="1" operator="greaterThanOrEqual">
      <formula>15</formula>
    </cfRule>
  </conditionalFormatting>
  <conditionalFormatting pivot="1" sqref="J617 O617 S617 J584 O584 S584 J587 O587 S587 J590 O590 S590 J593 O593 S593 J596 O596 S596 J599 O599 S599 J602 O602 S602 J605 O605 S605 J608 O608 S608 J611 O611 S611 J614 O614 S614">
    <cfRule type="cellIs" dxfId="1506" priority="833" stopIfTrue="1" operator="lessThanOrEqual">
      <formula>-15</formula>
    </cfRule>
  </conditionalFormatting>
  <conditionalFormatting pivot="1" sqref="J8 O8 S8 J11 O11 S11 J14 O14 S14 J17 O17 S17 J20 O20 S20 J23 O23 S23 J26 O26 S26 J29 O29 S29 J32 O32 S32 J35 O35 S35 J38 O38 S38 J41 O41 S41 J44 O44 S44 J47 O47 S47 J50 O50 S50 J53 O53 S53 J56 O56 S56 J59 O59 S59 J62 O62 S62 J65 O65 S65 J68 O68 S68 J71 O71 S71 J74 O74 S74 J77 O77 S77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05" priority="832" stopIfTrue="1" operator="greaterThanOrEqual">
      <formula>5</formula>
    </cfRule>
  </conditionalFormatting>
  <conditionalFormatting pivot="1" sqref="J8 O8 S8 J11 O11 S11 J14 O14 S14 J17 O17 S17 J20 O20 S20 J23 O23 S23 J26 O26 S26 J29 O29 S29 J32 O32 S32 J35 O35 S35 J38 O38 S38 J41 O41 S41 J44 O44 S44 J47 O47 S47 J50 O50 S50 J53 O53 S53 J56 O56 S56 J59 O59 S59 J62 O62 S62 J65 O65 S65 J68 O68 S68 J71 O71 S71 J74 O74 S74 J77 O77 S77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04" priority="831" stopIfTrue="1" operator="lessThanOrEqual">
      <formula>-5</formula>
    </cfRule>
  </conditionalFormatting>
  <conditionalFormatting pivot="1" sqref="C617:S617 C584:S584 C587:S587 C590:S590 C593:S593 C596:S596 C599:S599 C602:S602 C605:S605 C608:S608 C611:S611 C614:S614">
    <cfRule type="cellIs" dxfId="1503" priority="829" stopIfTrue="1" operator="greaterThanOrEqual">
      <formula>15</formula>
    </cfRule>
    <cfRule type="cellIs" dxfId="1502" priority="830"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501" priority="827" stopIfTrue="1" operator="greaterThanOrEqual">
      <formula>5</formula>
    </cfRule>
    <cfRule type="cellIs" dxfId="1500" priority="828" stopIfTrue="1" operator="lessThanOrEqual">
      <formula>-5</formula>
    </cfRule>
  </conditionalFormatting>
  <conditionalFormatting pivot="1" sqref="C617:S617 C584:S584 C587:S587 C590:S590 C593:S593 C596:S596 C599:S599 C602:S602 C605:S605 C608:S608 C611:S611 C614:S614">
    <cfRule type="cellIs" dxfId="1499" priority="825" stopIfTrue="1" operator="greaterThanOrEqual">
      <formula>15</formula>
    </cfRule>
    <cfRule type="cellIs" dxfId="1498" priority="826"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497" priority="823" stopIfTrue="1" operator="greaterThanOrEqual">
      <formula>5</formula>
    </cfRule>
    <cfRule type="cellIs" dxfId="1496" priority="824" stopIfTrue="1" operator="lessThanOrEqual">
      <formula>-5</formula>
    </cfRule>
  </conditionalFormatting>
  <conditionalFormatting pivot="1" sqref="C617:S617 C584:S584 C587:S587 C590:S590 C593:S593 C596:S596 C599:S599 C602:S602 C605:S605 C608:S608 C611:S611 C614:S614">
    <cfRule type="cellIs" dxfId="1495" priority="821" stopIfTrue="1" operator="greaterThanOrEqual">
      <formula>15</formula>
    </cfRule>
    <cfRule type="cellIs" dxfId="1494" priority="822"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493" priority="819" stopIfTrue="1" operator="greaterThanOrEqual">
      <formula>5</formula>
    </cfRule>
    <cfRule type="cellIs" dxfId="1492" priority="820" stopIfTrue="1" operator="lessThanOrEqual">
      <formula>-5</formula>
    </cfRule>
  </conditionalFormatting>
  <conditionalFormatting pivot="1" sqref="C617:S617 C584:S584 C587:S587 C590:S590 C593:S593 C596:S596 C599:S599 C602:S602 C605:S605 C608:S608 C611:S611 C614:S614">
    <cfRule type="cellIs" dxfId="1491" priority="817" stopIfTrue="1" operator="greaterThanOrEqual">
      <formula>15</formula>
    </cfRule>
    <cfRule type="cellIs" dxfId="1490" priority="818" stopIfTrue="1" operator="lessThanOrEqual">
      <formula>-15</formula>
    </cfRule>
  </conditionalFormatting>
  <conditionalFormatting pivot="1" sqref="C8:S8 C11:S11 C14:S14 C17:S17 C20:S20 C23:S23 C26:S26 C29:S29 C32:S32 C35:S35 C38:S38 C41:S41 C44:S44 C47:S47 C50:S50 C53:S53 C56:S56 C59:S59 C62:S62 C65:S65 C68:S68 C71:S71 C74:S74 C77:S77 C80:S80 C83:S83 C86:S86 C89:S89 C92:S92 C95:S95 C98:S98 C101:S101 C104:S104 C107:S107 C110:S110 C113:S113 C116:S116 C119:S119 C122:S122 C125:S125 C128:S128 C131:S131 C134:S134 C137:S137 C140:S140 C143:S143 C146:S146 C149:S149 C152:S152 C155:S155 C158:S158 C161:S161 C164:S164 C167:S167 C170:S170 C173:S173 C176:S176 C179:S179 C182:S182 C185:S185 C188:S188 C191:S191 C194:S194 C197:S197 C200:S200 C203:S203 C206:S206 C209:S209 C212:S212 C215:S215 C218:S218 C221:S221 C224:S224 C227:S227 C230:S230 C233:S233 C236:S236 C239:S239 C242:S242 C245:S245 C248:S248 C251:S251 C254:S254 C257:S257 C260:S260 C263:S263 C266:S266 C269:S269 C272:S272 C275:S275 C278:S278 C281:S281 C284:S284 C287:S287 C290:S290 C293:S293 C296:S296 C299:S299 C302:S302 C305:S305 C308:S308 C311:S311 C314:S314 C317:S317 C320:S320 C323:S323 C326:S326 C329:S329 C332:S332 C335:S335 C338:S338 C341:S341 C344:S344 C347:S347 C350:S350 C353:S353 C356:S356 C359:S359 C362:S362 C365:S365 C368:S368 C371:S371 C374:S374 C377:S377 C380:S380 C383:S383 C386:S386 C389:S389 C392:S392 C395:S395 C398:S398 C401:S401 C404:S404 C407:S407 C410:S410 C413:S413 C416:S416 C419:S419 C422:S422 C425:S425 C428:S428 C431:S431 C434:S434 C437:S437 C440:S440 C443:S443 C446:S446 C449:S449 C452:S452 C455:S455 C458:S458 C461:S461 C464:S464 C467:S467 C470:S470 C473:S473 C476:S476 C479:S479 C482:S482 C485:S485 C488:S488 C491:S491 C494:S494 C497:S497 C500:S500 C503:S503 C506:S506 C509:S509 C512:S512 C515:S515 C518:S518 C521:S521 C524:S524 C527:S527 C530:S530 C533:S533 C536:S536 C539:S539 C542:S542 C545:S545 C548:S548 C551:S551 C554:S554 C557:S557 C560:S560 C563:S563 C566:S566 C569:S569 C572:S572 C575:S575 C578:S578 C581:S581">
    <cfRule type="cellIs" dxfId="1489" priority="815" stopIfTrue="1" operator="greaterThanOrEqual">
      <formula>5</formula>
    </cfRule>
    <cfRule type="cellIs" dxfId="1488" priority="816"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487" priority="814"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486" priority="813"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485" priority="811" stopIfTrue="1" operator="greaterThanOrEqual">
      <formula>5</formula>
    </cfRule>
    <cfRule type="cellIs" dxfId="1484" priority="81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483" priority="809" stopIfTrue="1" operator="greaterThanOrEqual">
      <formula>5</formula>
    </cfRule>
    <cfRule type="cellIs" dxfId="1482" priority="81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481" priority="807" stopIfTrue="1" operator="greaterThanOrEqual">
      <formula>5</formula>
    </cfRule>
    <cfRule type="cellIs" dxfId="1480" priority="80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479" priority="805" stopIfTrue="1" operator="greaterThanOrEqual">
      <formula>5</formula>
    </cfRule>
    <cfRule type="cellIs" dxfId="1478" priority="80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477" priority="803" stopIfTrue="1" operator="greaterThanOrEqual">
      <formula>5</formula>
    </cfRule>
    <cfRule type="cellIs" dxfId="1476" priority="804"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475" priority="802"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474" priority="801"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473" priority="799" stopIfTrue="1" operator="greaterThanOrEqual">
      <formula>5</formula>
    </cfRule>
    <cfRule type="cellIs" dxfId="1472" priority="80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471" priority="797" stopIfTrue="1" operator="greaterThanOrEqual">
      <formula>5</formula>
    </cfRule>
    <cfRule type="cellIs" dxfId="1470" priority="79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469" priority="795" stopIfTrue="1" operator="greaterThanOrEqual">
      <formula>5</formula>
    </cfRule>
    <cfRule type="cellIs" dxfId="1468" priority="79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467" priority="793" stopIfTrue="1" operator="greaterThanOrEqual">
      <formula>5</formula>
    </cfRule>
    <cfRule type="cellIs" dxfId="1466" priority="794"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465" priority="792"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464" priority="791" stopIfTrue="1" operator="lessThanOrEqual">
      <formula>-5</formula>
    </cfRule>
  </conditionalFormatting>
  <conditionalFormatting pivot="1" sqref="C296:S296 C299:S299 C302:S302 C305:S305 C308:S308 C311:S311 C314:S314 C317:S317 C320:S320 C323:S323 C326:S326 C329:S329">
    <cfRule type="cellIs" dxfId="1463" priority="789" stopIfTrue="1" operator="greaterThanOrEqual">
      <formula>5</formula>
    </cfRule>
    <cfRule type="cellIs" dxfId="1462" priority="790" stopIfTrue="1" operator="lessThanOrEqual">
      <formula>-5</formula>
    </cfRule>
  </conditionalFormatting>
  <conditionalFormatting pivot="1" sqref="C296:S296 C299:S299 C302:S302 C305:S305 C308:S308 C311:S311 C314:S314 C317:S317 C320:S320 C323:S323 C326:S326 C329:S329">
    <cfRule type="cellIs" dxfId="1461" priority="787" stopIfTrue="1" operator="greaterThanOrEqual">
      <formula>5</formula>
    </cfRule>
    <cfRule type="cellIs" dxfId="1460" priority="788" stopIfTrue="1" operator="lessThanOrEqual">
      <formula>-5</formula>
    </cfRule>
  </conditionalFormatting>
  <conditionalFormatting pivot="1" sqref="C296:S296 C299:S299 C302:S302 C305:S305 C308:S308 C311:S311 C314:S314 C317:S317 C320:S320 C323:S323 C326:S326 C329:S329">
    <cfRule type="cellIs" dxfId="1459" priority="785" stopIfTrue="1" operator="greaterThanOrEqual">
      <formula>5</formula>
    </cfRule>
    <cfRule type="cellIs" dxfId="1458" priority="786" stopIfTrue="1" operator="lessThanOrEqual">
      <formula>-5</formula>
    </cfRule>
  </conditionalFormatting>
  <conditionalFormatting pivot="1" sqref="C296:S296 C299:S299 C302:S302 C305:S305 C308:S308 C311:S311 C314:S314 C317:S317 C320:S320 C323:S323 C326:S326 C329:S329">
    <cfRule type="cellIs" dxfId="1457" priority="783" stopIfTrue="1" operator="greaterThanOrEqual">
      <formula>5</formula>
    </cfRule>
    <cfRule type="cellIs" dxfId="1456" priority="784" stopIfTrue="1" operator="lessThanOrEqual">
      <formula>-5</formula>
    </cfRule>
  </conditionalFormatting>
  <conditionalFormatting pivot="1" sqref="C296:S296 C299:S299 C302:S302 C305:S305 C308:S308 C311:S311 C314:S314 C317:S317 C320:S320 C323:S323 C326:S326 C329:S329">
    <cfRule type="cellIs" dxfId="1455" priority="781" stopIfTrue="1" operator="greaterThanOrEqual">
      <formula>5</formula>
    </cfRule>
    <cfRule type="cellIs" dxfId="1454" priority="782"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453" priority="780"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452" priority="779" stopIfTrue="1" operator="lessThanOrEqual">
      <formula>-5</formula>
    </cfRule>
  </conditionalFormatting>
  <conditionalFormatting pivot="1" sqref="C296:S296 C299:S299 C302:S302 C305:S305 C308:S308 C311:S311 C314:S314 C317:S317 C320:S320 C323:S323 C326:S326 C329:S329">
    <cfRule type="cellIs" dxfId="1451" priority="777" stopIfTrue="1" operator="greaterThanOrEqual">
      <formula>5</formula>
    </cfRule>
    <cfRule type="cellIs" dxfId="1450" priority="778" stopIfTrue="1" operator="lessThanOrEqual">
      <formula>-5</formula>
    </cfRule>
  </conditionalFormatting>
  <conditionalFormatting pivot="1" sqref="C296:S296 C299:S299 C302:S302 C305:S305 C308:S308 C311:S311 C314:S314 C317:S317 C320:S320 C323:S323 C326:S326 C329:S329">
    <cfRule type="cellIs" dxfId="1449" priority="775" stopIfTrue="1" operator="greaterThanOrEqual">
      <formula>5</formula>
    </cfRule>
    <cfRule type="cellIs" dxfId="1448" priority="776" stopIfTrue="1" operator="lessThanOrEqual">
      <formula>-5</formula>
    </cfRule>
  </conditionalFormatting>
  <conditionalFormatting pivot="1" sqref="C296:S296 C299:S299 C302:S302 C305:S305 C308:S308 C311:S311 C314:S314 C317:S317 C320:S320 C323:S323 C326:S326 C329:S329">
    <cfRule type="cellIs" dxfId="1447" priority="773" stopIfTrue="1" operator="greaterThanOrEqual">
      <formula>5</formula>
    </cfRule>
    <cfRule type="cellIs" dxfId="1446" priority="774" stopIfTrue="1" operator="lessThanOrEqual">
      <formula>-5</formula>
    </cfRule>
  </conditionalFormatting>
  <conditionalFormatting pivot="1" sqref="C296:S296 C299:S299 C302:S302 C305:S305 C308:S308 C311:S311 C314:S314 C317:S317 C320:S320 C323:S323 C326:S326 C329:S329">
    <cfRule type="cellIs" dxfId="1445" priority="771" stopIfTrue="1" operator="greaterThanOrEqual">
      <formula>5</formula>
    </cfRule>
    <cfRule type="cellIs" dxfId="1444" priority="772"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443" priority="770"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442" priority="769"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441" priority="768"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440" priority="767" stopIfTrue="1" operator="lessThanOrEqual">
      <formula>-5</formula>
    </cfRule>
  </conditionalFormatting>
  <conditionalFormatting sqref="C653:U653 C620:U620 C623:U623 C626:U626 C629:U629 C632:U632 C635:U635 C638:U638 C641:U641 C644:U644 C647:U647 C650:U650">
    <cfRule type="cellIs" dxfId="1439" priority="765" stopIfTrue="1" operator="greaterThanOrEqual">
      <formula>15</formula>
    </cfRule>
    <cfRule type="cellIs" dxfId="1438" priority="76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437" priority="763" stopIfTrue="1" operator="greaterThanOrEqual">
      <formula>5</formula>
    </cfRule>
    <cfRule type="cellIs" dxfId="1436" priority="764" stopIfTrue="1" operator="lessThanOrEqual">
      <formula>-5</formula>
    </cfRule>
  </conditionalFormatting>
  <conditionalFormatting sqref="C653:U653 C620:U620 C623:U623 C626:U626 C629:U629 C632:U632 C635:U635 C638:U638 C641:U641 C644:U644 C647:U647 C650:U650">
    <cfRule type="cellIs" dxfId="1435" priority="761" stopIfTrue="1" operator="greaterThanOrEqual">
      <formula>15</formula>
    </cfRule>
    <cfRule type="cellIs" dxfId="1434" priority="76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433" priority="759" stopIfTrue="1" operator="greaterThanOrEqual">
      <formula>5</formula>
    </cfRule>
    <cfRule type="cellIs" dxfId="1432" priority="760" stopIfTrue="1" operator="lessThanOrEqual">
      <formula>-5</formula>
    </cfRule>
  </conditionalFormatting>
  <conditionalFormatting sqref="C653:U653 C620:U620 C623:U623 C626:U626 C629:U629 C632:U632 C635:U635 C638:U638 C641:U641 C644:U644 C647:U647 C650:U650">
    <cfRule type="cellIs" dxfId="1431" priority="757" stopIfTrue="1" operator="greaterThanOrEqual">
      <formula>15</formula>
    </cfRule>
    <cfRule type="cellIs" dxfId="1430" priority="75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429" priority="755" stopIfTrue="1" operator="greaterThanOrEqual">
      <formula>5</formula>
    </cfRule>
    <cfRule type="cellIs" dxfId="1428" priority="756" stopIfTrue="1" operator="lessThanOrEqual">
      <formula>-5</formula>
    </cfRule>
  </conditionalFormatting>
  <conditionalFormatting sqref="C653:U653 C620:U620 C623:U623 C626:U626 C629:U629 C632:U632 C635:U635 C638:U638 C641:U641 C644:U644 C647:U647 C650:U650">
    <cfRule type="cellIs" dxfId="1427" priority="753" stopIfTrue="1" operator="greaterThanOrEqual">
      <formula>15</formula>
    </cfRule>
    <cfRule type="cellIs" dxfId="1426" priority="75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425" priority="751" stopIfTrue="1" operator="greaterThanOrEqual">
      <formula>5</formula>
    </cfRule>
    <cfRule type="cellIs" dxfId="1424" priority="752" stopIfTrue="1" operator="lessThanOrEqual">
      <formula>-5</formula>
    </cfRule>
  </conditionalFormatting>
  <conditionalFormatting sqref="C653:U653 C620:U620 C623:U623 C626:U626 C629:U629 C632:U632 C635:U635 C638:U638 C641:U641 C644:U644 C647:U647 C650:U650">
    <cfRule type="cellIs" dxfId="1423" priority="749" stopIfTrue="1" operator="greaterThanOrEqual">
      <formula>15</formula>
    </cfRule>
    <cfRule type="cellIs" dxfId="1422" priority="75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421" priority="747" stopIfTrue="1" operator="greaterThanOrEqual">
      <formula>5</formula>
    </cfRule>
    <cfRule type="cellIs" dxfId="1420" priority="748"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419" priority="746"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418" priority="745"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417" priority="744"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416" priority="743" stopIfTrue="1" operator="lessThanOrEqual">
      <formula>-5</formula>
    </cfRule>
  </conditionalFormatting>
  <conditionalFormatting sqref="C653:U653 C620:U620 C623:U623 C626:U626 C629:U629 C632:U632 C635:U635 C638:U638 C641:U641 C644:U644 C647:U647 C650:U650">
    <cfRule type="cellIs" dxfId="1415" priority="741" stopIfTrue="1" operator="greaterThanOrEqual">
      <formula>15</formula>
    </cfRule>
    <cfRule type="cellIs" dxfId="1414" priority="74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413" priority="739" stopIfTrue="1" operator="greaterThanOrEqual">
      <formula>5</formula>
    </cfRule>
    <cfRule type="cellIs" dxfId="1412" priority="740" stopIfTrue="1" operator="lessThanOrEqual">
      <formula>-5</formula>
    </cfRule>
  </conditionalFormatting>
  <conditionalFormatting sqref="C653:U653 C620:U620 C623:U623 C626:U626 C629:U629 C632:U632 C635:U635 C638:U638 C641:U641 C644:U644 C647:U647 C650:U650">
    <cfRule type="cellIs" dxfId="1411" priority="737" stopIfTrue="1" operator="greaterThanOrEqual">
      <formula>15</formula>
    </cfRule>
    <cfRule type="cellIs" dxfId="1410" priority="73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409" priority="735" stopIfTrue="1" operator="greaterThanOrEqual">
      <formula>5</formula>
    </cfRule>
    <cfRule type="cellIs" dxfId="1408" priority="736" stopIfTrue="1" operator="lessThanOrEqual">
      <formula>-5</formula>
    </cfRule>
  </conditionalFormatting>
  <conditionalFormatting sqref="C653:U653 C620:U620 C623:U623 C626:U626 C629:U629 C632:U632 C635:U635 C638:U638 C641:U641 C644:U644 C647:U647 C650:U650">
    <cfRule type="cellIs" dxfId="1407" priority="733" stopIfTrue="1" operator="greaterThanOrEqual">
      <formula>15</formula>
    </cfRule>
    <cfRule type="cellIs" dxfId="1406" priority="73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405" priority="731" stopIfTrue="1" operator="greaterThanOrEqual">
      <formula>5</formula>
    </cfRule>
    <cfRule type="cellIs" dxfId="1404" priority="732" stopIfTrue="1" operator="lessThanOrEqual">
      <formula>-5</formula>
    </cfRule>
  </conditionalFormatting>
  <conditionalFormatting sqref="C653:U653 C620:U620 C623:U623 C626:U626 C629:U629 C632:U632 C635:U635 C638:U638 C641:U641 C644:U644 C647:U647 C650:U650">
    <cfRule type="cellIs" dxfId="1403" priority="729" stopIfTrue="1" operator="greaterThanOrEqual">
      <formula>15</formula>
    </cfRule>
    <cfRule type="cellIs" dxfId="1402" priority="73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401" priority="727" stopIfTrue="1" operator="greaterThanOrEqual">
      <formula>5</formula>
    </cfRule>
    <cfRule type="cellIs" dxfId="1400" priority="728"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399" priority="726"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398" priority="725"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97" priority="723" stopIfTrue="1" operator="greaterThanOrEqual">
      <formula>5</formula>
    </cfRule>
    <cfRule type="cellIs" dxfId="1396" priority="72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95" priority="721" stopIfTrue="1" operator="greaterThanOrEqual">
      <formula>5</formula>
    </cfRule>
    <cfRule type="cellIs" dxfId="1394" priority="72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93" priority="719" stopIfTrue="1" operator="greaterThanOrEqual">
      <formula>5</formula>
    </cfRule>
    <cfRule type="cellIs" dxfId="1392" priority="72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91" priority="717" stopIfTrue="1" operator="greaterThanOrEqual">
      <formula>5</formula>
    </cfRule>
    <cfRule type="cellIs" dxfId="1390" priority="71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89" priority="715" stopIfTrue="1" operator="greaterThanOrEqual">
      <formula>5</formula>
    </cfRule>
    <cfRule type="cellIs" dxfId="1388" priority="716"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387" priority="714"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386" priority="713"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85" priority="711" stopIfTrue="1" operator="greaterThanOrEqual">
      <formula>5</formula>
    </cfRule>
    <cfRule type="cellIs" dxfId="1384" priority="71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83" priority="709" stopIfTrue="1" operator="greaterThanOrEqual">
      <formula>5</formula>
    </cfRule>
    <cfRule type="cellIs" dxfId="1382" priority="71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81" priority="707" stopIfTrue="1" operator="greaterThanOrEqual">
      <formula>5</formula>
    </cfRule>
    <cfRule type="cellIs" dxfId="1380" priority="70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79" priority="705" stopIfTrue="1" operator="greaterThanOrEqual">
      <formula>5</formula>
    </cfRule>
    <cfRule type="cellIs" dxfId="1378" priority="706"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377" priority="704"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376" priority="703"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375" priority="702"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374" priority="701" stopIfTrue="1" operator="lessThanOrEqual">
      <formula>-5</formula>
    </cfRule>
  </conditionalFormatting>
  <conditionalFormatting sqref="C653:U653 C620:U620 C623:U623 C626:U626 C629:U629 C632:U632 C635:U635 C638:U638 C641:U641 C644:U644 C647:U647 C650:U650">
    <cfRule type="cellIs" dxfId="1373" priority="699" stopIfTrue="1" operator="greaterThanOrEqual">
      <formula>15</formula>
    </cfRule>
    <cfRule type="cellIs" dxfId="1372" priority="70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371" priority="697" stopIfTrue="1" operator="greaterThanOrEqual">
      <formula>5</formula>
    </cfRule>
    <cfRule type="cellIs" dxfId="1370" priority="698" stopIfTrue="1" operator="lessThanOrEqual">
      <formula>-5</formula>
    </cfRule>
  </conditionalFormatting>
  <conditionalFormatting sqref="C653:U653 C620:U620 C623:U623 C626:U626 C629:U629 C632:U632 C635:U635 C638:U638 C641:U641 C644:U644 C647:U647 C650:U650">
    <cfRule type="cellIs" dxfId="1369" priority="695" stopIfTrue="1" operator="greaterThanOrEqual">
      <formula>15</formula>
    </cfRule>
    <cfRule type="cellIs" dxfId="1368" priority="69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367" priority="693" stopIfTrue="1" operator="greaterThanOrEqual">
      <formula>5</formula>
    </cfRule>
    <cfRule type="cellIs" dxfId="1366" priority="694" stopIfTrue="1" operator="lessThanOrEqual">
      <formula>-5</formula>
    </cfRule>
  </conditionalFormatting>
  <conditionalFormatting sqref="C653:U653 C620:U620 C623:U623 C626:U626 C629:U629 C632:U632 C635:U635 C638:U638 C641:U641 C644:U644 C647:U647 C650:U650">
    <cfRule type="cellIs" dxfId="1365" priority="691" stopIfTrue="1" operator="greaterThanOrEqual">
      <formula>15</formula>
    </cfRule>
    <cfRule type="cellIs" dxfId="1364" priority="69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363" priority="689" stopIfTrue="1" operator="greaterThanOrEqual">
      <formula>5</formula>
    </cfRule>
    <cfRule type="cellIs" dxfId="1362" priority="690" stopIfTrue="1" operator="lessThanOrEqual">
      <formula>-5</formula>
    </cfRule>
  </conditionalFormatting>
  <conditionalFormatting sqref="C653:U653 C620:U620 C623:U623 C626:U626 C629:U629 C632:U632 C635:U635 C638:U638 C641:U641 C644:U644 C647:U647 C650:U650">
    <cfRule type="cellIs" dxfId="1361" priority="687" stopIfTrue="1" operator="greaterThanOrEqual">
      <formula>15</formula>
    </cfRule>
    <cfRule type="cellIs" dxfId="1360" priority="68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359" priority="685" stopIfTrue="1" operator="greaterThanOrEqual">
      <formula>5</formula>
    </cfRule>
    <cfRule type="cellIs" dxfId="1358" priority="686" stopIfTrue="1" operator="lessThanOrEqual">
      <formula>-5</formula>
    </cfRule>
  </conditionalFormatting>
  <conditionalFormatting sqref="C653:U653 C620:U620 C623:U623 C626:U626 C629:U629 C632:U632 C635:U635 C638:U638 C641:U641 C644:U644 C647:U647 C650:U650">
    <cfRule type="cellIs" dxfId="1357" priority="683" stopIfTrue="1" operator="greaterThanOrEqual">
      <formula>15</formula>
    </cfRule>
    <cfRule type="cellIs" dxfId="1356" priority="68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355" priority="681" stopIfTrue="1" operator="greaterThanOrEqual">
      <formula>5</formula>
    </cfRule>
    <cfRule type="cellIs" dxfId="1354" priority="682"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353" priority="680"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352" priority="679"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351" priority="678"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350" priority="677" stopIfTrue="1" operator="lessThanOrEqual">
      <formula>-5</formula>
    </cfRule>
  </conditionalFormatting>
  <conditionalFormatting sqref="C653:U653 C620:U620 C623:U623 C626:U626 C629:U629 C632:U632 C635:U635 C638:U638 C641:U641 C644:U644 C647:U647 C650:U650">
    <cfRule type="cellIs" dxfId="1349" priority="675" stopIfTrue="1" operator="greaterThanOrEqual">
      <formula>15</formula>
    </cfRule>
    <cfRule type="cellIs" dxfId="1348" priority="67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347" priority="673" stopIfTrue="1" operator="greaterThanOrEqual">
      <formula>5</formula>
    </cfRule>
    <cfRule type="cellIs" dxfId="1346" priority="674" stopIfTrue="1" operator="lessThanOrEqual">
      <formula>-5</formula>
    </cfRule>
  </conditionalFormatting>
  <conditionalFormatting sqref="C653:U653 C620:U620 C623:U623 C626:U626 C629:U629 C632:U632 C635:U635 C638:U638 C641:U641 C644:U644 C647:U647 C650:U650">
    <cfRule type="cellIs" dxfId="1345" priority="671" stopIfTrue="1" operator="greaterThanOrEqual">
      <formula>15</formula>
    </cfRule>
    <cfRule type="cellIs" dxfId="1344" priority="67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343" priority="669" stopIfTrue="1" operator="greaterThanOrEqual">
      <formula>5</formula>
    </cfRule>
    <cfRule type="cellIs" dxfId="1342" priority="670" stopIfTrue="1" operator="lessThanOrEqual">
      <formula>-5</formula>
    </cfRule>
  </conditionalFormatting>
  <conditionalFormatting sqref="C653:U653 C620:U620 C623:U623 C626:U626 C629:U629 C632:U632 C635:U635 C638:U638 C641:U641 C644:U644 C647:U647 C650:U650">
    <cfRule type="cellIs" dxfId="1341" priority="667" stopIfTrue="1" operator="greaterThanOrEqual">
      <formula>15</formula>
    </cfRule>
    <cfRule type="cellIs" dxfId="1340" priority="66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339" priority="665" stopIfTrue="1" operator="greaterThanOrEqual">
      <formula>5</formula>
    </cfRule>
    <cfRule type="cellIs" dxfId="1338" priority="666" stopIfTrue="1" operator="lessThanOrEqual">
      <formula>-5</formula>
    </cfRule>
  </conditionalFormatting>
  <conditionalFormatting sqref="C653:U653 C620:U620 C623:U623 C626:U626 C629:U629 C632:U632 C635:U635 C638:U638 C641:U641 C644:U644 C647:U647 C650:U650">
    <cfRule type="cellIs" dxfId="1337" priority="663" stopIfTrue="1" operator="greaterThanOrEqual">
      <formula>15</formula>
    </cfRule>
    <cfRule type="cellIs" dxfId="1336" priority="66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335" priority="661" stopIfTrue="1" operator="greaterThanOrEqual">
      <formula>5</formula>
    </cfRule>
    <cfRule type="cellIs" dxfId="1334" priority="662"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333" priority="660"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332" priority="659"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31" priority="657" stopIfTrue="1" operator="greaterThanOrEqual">
      <formula>5</formula>
    </cfRule>
    <cfRule type="cellIs" dxfId="1330" priority="65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29" priority="655" stopIfTrue="1" operator="greaterThanOrEqual">
      <formula>5</formula>
    </cfRule>
    <cfRule type="cellIs" dxfId="1328" priority="65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27" priority="653" stopIfTrue="1" operator="greaterThanOrEqual">
      <formula>5</formula>
    </cfRule>
    <cfRule type="cellIs" dxfId="1326" priority="65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25" priority="651" stopIfTrue="1" operator="greaterThanOrEqual">
      <formula>5</formula>
    </cfRule>
    <cfRule type="cellIs" dxfId="1324" priority="65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23" priority="649" stopIfTrue="1" operator="greaterThanOrEqual">
      <formula>5</formula>
    </cfRule>
    <cfRule type="cellIs" dxfId="1322" priority="650"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321" priority="648"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320" priority="647"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19" priority="645" stopIfTrue="1" operator="greaterThanOrEqual">
      <formula>5</formula>
    </cfRule>
    <cfRule type="cellIs" dxfId="1318" priority="64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17" priority="643" stopIfTrue="1" operator="greaterThanOrEqual">
      <formula>5</formula>
    </cfRule>
    <cfRule type="cellIs" dxfId="1316" priority="64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15" priority="641" stopIfTrue="1" operator="greaterThanOrEqual">
      <formula>5</formula>
    </cfRule>
    <cfRule type="cellIs" dxfId="1314" priority="64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313" priority="639" stopIfTrue="1" operator="greaterThanOrEqual">
      <formula>5</formula>
    </cfRule>
    <cfRule type="cellIs" dxfId="1312" priority="640"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311" priority="638"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310" priority="637" stopIfTrue="1" operator="lessThanOrEqual">
      <formula>-5</formula>
    </cfRule>
  </conditionalFormatting>
  <conditionalFormatting sqref="T299:U299 T302:U302 T305:U305 T308:U308 T311:U311 T314:U314 T317:U317 T320:U320 T323:U323 T326:U326 T329:U329 T296:U296">
    <cfRule type="cellIs" dxfId="1309" priority="635" stopIfTrue="1" operator="greaterThanOrEqual">
      <formula>5</formula>
    </cfRule>
    <cfRule type="cellIs" dxfId="1308" priority="636" stopIfTrue="1" operator="lessThanOrEqual">
      <formula>-5</formula>
    </cfRule>
  </conditionalFormatting>
  <conditionalFormatting sqref="T299:U299 T302:U302 T305:U305 T308:U308 T311:U311 T314:U314 T317:U317 T320:U320 T323:U323 T326:U326 T329:U329 T296:U296">
    <cfRule type="cellIs" dxfId="1307" priority="633" stopIfTrue="1" operator="greaterThanOrEqual">
      <formula>5</formula>
    </cfRule>
    <cfRule type="cellIs" dxfId="1306" priority="634" stopIfTrue="1" operator="lessThanOrEqual">
      <formula>-5</formula>
    </cfRule>
  </conditionalFormatting>
  <conditionalFormatting sqref="T299:U299 T302:U302 T305:U305 T308:U308 T311:U311 T314:U314 T317:U317 T320:U320 T323:U323 T326:U326 T329:U329 T296:U296">
    <cfRule type="cellIs" dxfId="1305" priority="631" stopIfTrue="1" operator="greaterThanOrEqual">
      <formula>5</formula>
    </cfRule>
    <cfRule type="cellIs" dxfId="1304" priority="632" stopIfTrue="1" operator="lessThanOrEqual">
      <formula>-5</formula>
    </cfRule>
  </conditionalFormatting>
  <conditionalFormatting sqref="T299:U299 T302:U302 T305:U305 T308:U308 T311:U311 T314:U314 T317:U317 T320:U320 T323:U323 T326:U326 T329:U329 T296:U296">
    <cfRule type="cellIs" dxfId="1303" priority="629" stopIfTrue="1" operator="greaterThanOrEqual">
      <formula>5</formula>
    </cfRule>
    <cfRule type="cellIs" dxfId="1302" priority="630" stopIfTrue="1" operator="lessThanOrEqual">
      <formula>-5</formula>
    </cfRule>
  </conditionalFormatting>
  <conditionalFormatting sqref="T299:U299 T302:U302 T305:U305 T308:U308 T311:U311 T314:U314 T317:U317 T320:U320 T323:U323 T326:U326 T329:U329 T296:U296">
    <cfRule type="cellIs" dxfId="1301" priority="627" stopIfTrue="1" operator="greaterThanOrEqual">
      <formula>5</formula>
    </cfRule>
    <cfRule type="cellIs" dxfId="1300" priority="628"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299" priority="626"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298" priority="625" stopIfTrue="1" operator="lessThanOrEqual">
      <formula>-5</formula>
    </cfRule>
  </conditionalFormatting>
  <conditionalFormatting sqref="T299:U299 T302:U302 T305:U305 T308:U308 T311:U311 T314:U314 T317:U317 T320:U320 T323:U323 T326:U326 T329:U329 T296:U296">
    <cfRule type="cellIs" dxfId="1297" priority="623" stopIfTrue="1" operator="greaterThanOrEqual">
      <formula>5</formula>
    </cfRule>
    <cfRule type="cellIs" dxfId="1296" priority="624" stopIfTrue="1" operator="lessThanOrEqual">
      <formula>-5</formula>
    </cfRule>
  </conditionalFormatting>
  <conditionalFormatting sqref="T299:U299 T302:U302 T305:U305 T308:U308 T311:U311 T314:U314 T317:U317 T320:U320 T323:U323 T326:U326 T329:U329 T296:U296">
    <cfRule type="cellIs" dxfId="1295" priority="621" stopIfTrue="1" operator="greaterThanOrEqual">
      <formula>5</formula>
    </cfRule>
    <cfRule type="cellIs" dxfId="1294" priority="622" stopIfTrue="1" operator="lessThanOrEqual">
      <formula>-5</formula>
    </cfRule>
  </conditionalFormatting>
  <conditionalFormatting sqref="T299:U299 T302:U302 T305:U305 T308:U308 T311:U311 T314:U314 T317:U317 T320:U320 T323:U323 T326:U326 T329:U329 T296:U296">
    <cfRule type="cellIs" dxfId="1293" priority="619" stopIfTrue="1" operator="greaterThanOrEqual">
      <formula>5</formula>
    </cfRule>
    <cfRule type="cellIs" dxfId="1292" priority="620" stopIfTrue="1" operator="lessThanOrEqual">
      <formula>-5</formula>
    </cfRule>
  </conditionalFormatting>
  <conditionalFormatting sqref="T299:U299 T302:U302 T305:U305 T308:U308 T311:U311 T314:U314 T317:U317 T320:U320 T323:U323 T326:U326 T329:U329 T296:U296">
    <cfRule type="cellIs" dxfId="1291" priority="617" stopIfTrue="1" operator="greaterThanOrEqual">
      <formula>5</formula>
    </cfRule>
    <cfRule type="cellIs" dxfId="1290" priority="618"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289" priority="616"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288" priority="615"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287" priority="614"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286" priority="613" stopIfTrue="1" operator="lessThanOrEqual">
      <formula>-5</formula>
    </cfRule>
  </conditionalFormatting>
  <conditionalFormatting sqref="C653:U653 C620:U620 C623:U623 C626:U626 C629:U629 C632:U632 C635:U635 C638:U638 C641:U641 C644:U644 C647:U647 C650:U650">
    <cfRule type="cellIs" dxfId="1285" priority="611" stopIfTrue="1" operator="greaterThanOrEqual">
      <formula>15</formula>
    </cfRule>
    <cfRule type="cellIs" dxfId="1284" priority="61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83" priority="609" stopIfTrue="1" operator="greaterThanOrEqual">
      <formula>5</formula>
    </cfRule>
    <cfRule type="cellIs" dxfId="1282" priority="610" stopIfTrue="1" operator="lessThanOrEqual">
      <formula>-5</formula>
    </cfRule>
  </conditionalFormatting>
  <conditionalFormatting sqref="C653:U653 C620:U620 C623:U623 C626:U626 C629:U629 C632:U632 C635:U635 C638:U638 C641:U641 C644:U644 C647:U647 C650:U650">
    <cfRule type="cellIs" dxfId="1281" priority="607" stopIfTrue="1" operator="greaterThanOrEqual">
      <formula>15</formula>
    </cfRule>
    <cfRule type="cellIs" dxfId="1280" priority="60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79" priority="605" stopIfTrue="1" operator="greaterThanOrEqual">
      <formula>5</formula>
    </cfRule>
    <cfRule type="cellIs" dxfId="1278" priority="606" stopIfTrue="1" operator="lessThanOrEqual">
      <formula>-5</formula>
    </cfRule>
  </conditionalFormatting>
  <conditionalFormatting sqref="C653:U653 C620:U620 C623:U623 C626:U626 C629:U629 C632:U632 C635:U635 C638:U638 C641:U641 C644:U644 C647:U647 C650:U650">
    <cfRule type="cellIs" dxfId="1277" priority="603" stopIfTrue="1" operator="greaterThanOrEqual">
      <formula>15</formula>
    </cfRule>
    <cfRule type="cellIs" dxfId="1276" priority="60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75" priority="601" stopIfTrue="1" operator="greaterThanOrEqual">
      <formula>5</formula>
    </cfRule>
    <cfRule type="cellIs" dxfId="1274" priority="602" stopIfTrue="1" operator="lessThanOrEqual">
      <formula>-5</formula>
    </cfRule>
  </conditionalFormatting>
  <conditionalFormatting sqref="C653:U653 C620:U620 C623:U623 C626:U626 C629:U629 C632:U632 C635:U635 C638:U638 C641:U641 C644:U644 C647:U647 C650:U650">
    <cfRule type="cellIs" dxfId="1273" priority="599" stopIfTrue="1" operator="greaterThanOrEqual">
      <formula>15</formula>
    </cfRule>
    <cfRule type="cellIs" dxfId="1272" priority="60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71" priority="597" stopIfTrue="1" operator="greaterThanOrEqual">
      <formula>5</formula>
    </cfRule>
    <cfRule type="cellIs" dxfId="1270" priority="598" stopIfTrue="1" operator="lessThanOrEqual">
      <formula>-5</formula>
    </cfRule>
  </conditionalFormatting>
  <conditionalFormatting sqref="C653:U653 C620:U620 C623:U623 C626:U626 C629:U629 C632:U632 C635:U635 C638:U638 C641:U641 C644:U644 C647:U647 C650:U650">
    <cfRule type="cellIs" dxfId="1269" priority="595" stopIfTrue="1" operator="greaterThanOrEqual">
      <formula>15</formula>
    </cfRule>
    <cfRule type="cellIs" dxfId="1268" priority="59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67" priority="593" stopIfTrue="1" operator="greaterThanOrEqual">
      <formula>5</formula>
    </cfRule>
    <cfRule type="cellIs" dxfId="1266" priority="594"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265" priority="592"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264" priority="591"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263" priority="590"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262" priority="589" stopIfTrue="1" operator="lessThanOrEqual">
      <formula>-5</formula>
    </cfRule>
  </conditionalFormatting>
  <conditionalFormatting sqref="C653:U653 C620:U620 C623:U623 C626:U626 C629:U629 C632:U632 C635:U635 C638:U638 C641:U641 C644:U644 C647:U647 C650:U650">
    <cfRule type="cellIs" dxfId="1261" priority="587" stopIfTrue="1" operator="greaterThanOrEqual">
      <formula>15</formula>
    </cfRule>
    <cfRule type="cellIs" dxfId="1260" priority="58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59" priority="585" stopIfTrue="1" operator="greaterThanOrEqual">
      <formula>5</formula>
    </cfRule>
    <cfRule type="cellIs" dxfId="1258" priority="586" stopIfTrue="1" operator="lessThanOrEqual">
      <formula>-5</formula>
    </cfRule>
  </conditionalFormatting>
  <conditionalFormatting sqref="C653:U653 C620:U620 C623:U623 C626:U626 C629:U629 C632:U632 C635:U635 C638:U638 C641:U641 C644:U644 C647:U647 C650:U650">
    <cfRule type="cellIs" dxfId="1257" priority="583" stopIfTrue="1" operator="greaterThanOrEqual">
      <formula>15</formula>
    </cfRule>
    <cfRule type="cellIs" dxfId="1256" priority="58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55" priority="581" stopIfTrue="1" operator="greaterThanOrEqual">
      <formula>5</formula>
    </cfRule>
    <cfRule type="cellIs" dxfId="1254" priority="582" stopIfTrue="1" operator="lessThanOrEqual">
      <formula>-5</formula>
    </cfRule>
  </conditionalFormatting>
  <conditionalFormatting sqref="C653:U653 C620:U620 C623:U623 C626:U626 C629:U629 C632:U632 C635:U635 C638:U638 C641:U641 C644:U644 C647:U647 C650:U650">
    <cfRule type="cellIs" dxfId="1253" priority="579" stopIfTrue="1" operator="greaterThanOrEqual">
      <formula>15</formula>
    </cfRule>
    <cfRule type="cellIs" dxfId="1252" priority="58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51" priority="577" stopIfTrue="1" operator="greaterThanOrEqual">
      <formula>5</formula>
    </cfRule>
    <cfRule type="cellIs" dxfId="1250" priority="578" stopIfTrue="1" operator="lessThanOrEqual">
      <formula>-5</formula>
    </cfRule>
  </conditionalFormatting>
  <conditionalFormatting sqref="C653:U653 C620:U620 C623:U623 C626:U626 C629:U629 C632:U632 C635:U635 C638:U638 C641:U641 C644:U644 C647:U647 C650:U650">
    <cfRule type="cellIs" dxfId="1249" priority="575" stopIfTrue="1" operator="greaterThanOrEqual">
      <formula>15</formula>
    </cfRule>
    <cfRule type="cellIs" dxfId="1248" priority="57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47" priority="573" stopIfTrue="1" operator="greaterThanOrEqual">
      <formula>5</formula>
    </cfRule>
    <cfRule type="cellIs" dxfId="1246" priority="574"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245" priority="572"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244" priority="571"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243" priority="569" stopIfTrue="1" operator="greaterThanOrEqual">
      <formula>5</formula>
    </cfRule>
    <cfRule type="cellIs" dxfId="1242" priority="57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241" priority="567" stopIfTrue="1" operator="greaterThanOrEqual">
      <formula>5</formula>
    </cfRule>
    <cfRule type="cellIs" dxfId="1240" priority="56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239" priority="565" stopIfTrue="1" operator="greaterThanOrEqual">
      <formula>5</formula>
    </cfRule>
    <cfRule type="cellIs" dxfId="1238" priority="56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237" priority="563" stopIfTrue="1" operator="greaterThanOrEqual">
      <formula>5</formula>
    </cfRule>
    <cfRule type="cellIs" dxfId="1236" priority="56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235" priority="561" stopIfTrue="1" operator="greaterThanOrEqual">
      <formula>5</formula>
    </cfRule>
    <cfRule type="cellIs" dxfId="1234" priority="562"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233" priority="560"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232" priority="559"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231" priority="557" stopIfTrue="1" operator="greaterThanOrEqual">
      <formula>5</formula>
    </cfRule>
    <cfRule type="cellIs" dxfId="1230" priority="55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229" priority="555" stopIfTrue="1" operator="greaterThanOrEqual">
      <formula>5</formula>
    </cfRule>
    <cfRule type="cellIs" dxfId="1228" priority="55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227" priority="553" stopIfTrue="1" operator="greaterThanOrEqual">
      <formula>5</formula>
    </cfRule>
    <cfRule type="cellIs" dxfId="1226" priority="55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225" priority="551" stopIfTrue="1" operator="greaterThanOrEqual">
      <formula>5</formula>
    </cfRule>
    <cfRule type="cellIs" dxfId="1224" priority="552"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223" priority="550"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222" priority="549"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221" priority="548"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220" priority="547" stopIfTrue="1" operator="lessThanOrEqual">
      <formula>-5</formula>
    </cfRule>
  </conditionalFormatting>
  <conditionalFormatting sqref="C653:U653 C620:U620 C623:U623 C626:U626 C629:U629 C632:U632 C635:U635 C638:U638 C641:U641 C644:U644 C647:U647 C650:U650">
    <cfRule type="cellIs" dxfId="1219" priority="545" stopIfTrue="1" operator="greaterThanOrEqual">
      <formula>15</formula>
    </cfRule>
    <cfRule type="cellIs" dxfId="1218" priority="54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17" priority="543" stopIfTrue="1" operator="greaterThanOrEqual">
      <formula>5</formula>
    </cfRule>
    <cfRule type="cellIs" dxfId="1216" priority="544" stopIfTrue="1" operator="lessThanOrEqual">
      <formula>-5</formula>
    </cfRule>
  </conditionalFormatting>
  <conditionalFormatting sqref="C653:U653 C620:U620 C623:U623 C626:U626 C629:U629 C632:U632 C635:U635 C638:U638 C641:U641 C644:U644 C647:U647 C650:U650">
    <cfRule type="cellIs" dxfId="1215" priority="541" stopIfTrue="1" operator="greaterThanOrEqual">
      <formula>15</formula>
    </cfRule>
    <cfRule type="cellIs" dxfId="1214" priority="54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13" priority="539" stopIfTrue="1" operator="greaterThanOrEqual">
      <formula>5</formula>
    </cfRule>
    <cfRule type="cellIs" dxfId="1212" priority="540" stopIfTrue="1" operator="lessThanOrEqual">
      <formula>-5</formula>
    </cfRule>
  </conditionalFormatting>
  <conditionalFormatting sqref="C653:U653 C620:U620 C623:U623 C626:U626 C629:U629 C632:U632 C635:U635 C638:U638 C641:U641 C644:U644 C647:U647 C650:U650">
    <cfRule type="cellIs" dxfId="1211" priority="537" stopIfTrue="1" operator="greaterThanOrEqual">
      <formula>15</formula>
    </cfRule>
    <cfRule type="cellIs" dxfId="1210" priority="53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09" priority="535" stopIfTrue="1" operator="greaterThanOrEqual">
      <formula>5</formula>
    </cfRule>
    <cfRule type="cellIs" dxfId="1208" priority="536" stopIfTrue="1" operator="lessThanOrEqual">
      <formula>-5</formula>
    </cfRule>
  </conditionalFormatting>
  <conditionalFormatting sqref="C653:U653 C620:U620 C623:U623 C626:U626 C629:U629 C632:U632 C635:U635 C638:U638 C641:U641 C644:U644 C647:U647 C650:U650">
    <cfRule type="cellIs" dxfId="1207" priority="533" stopIfTrue="1" operator="greaterThanOrEqual">
      <formula>15</formula>
    </cfRule>
    <cfRule type="cellIs" dxfId="1206" priority="53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05" priority="531" stopIfTrue="1" operator="greaterThanOrEqual">
      <formula>5</formula>
    </cfRule>
    <cfRule type="cellIs" dxfId="1204" priority="532" stopIfTrue="1" operator="lessThanOrEqual">
      <formula>-5</formula>
    </cfRule>
  </conditionalFormatting>
  <conditionalFormatting sqref="C653:U653 C620:U620 C623:U623 C626:U626 C629:U629 C632:U632 C635:U635 C638:U638 C641:U641 C644:U644 C647:U647 C650:U650">
    <cfRule type="cellIs" dxfId="1203" priority="529" stopIfTrue="1" operator="greaterThanOrEqual">
      <formula>15</formula>
    </cfRule>
    <cfRule type="cellIs" dxfId="1202" priority="53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201" priority="527" stopIfTrue="1" operator="greaterThanOrEqual">
      <formula>5</formula>
    </cfRule>
    <cfRule type="cellIs" dxfId="1200" priority="528"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199" priority="526"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198" priority="525"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197" priority="524"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196" priority="523" stopIfTrue="1" operator="lessThanOrEqual">
      <formula>-5</formula>
    </cfRule>
  </conditionalFormatting>
  <conditionalFormatting sqref="C653:U653 C620:U620 C623:U623 C626:U626 C629:U629 C632:U632 C635:U635 C638:U638 C641:U641 C644:U644 C647:U647 C650:U650">
    <cfRule type="cellIs" dxfId="1195" priority="521" stopIfTrue="1" operator="greaterThanOrEqual">
      <formula>15</formula>
    </cfRule>
    <cfRule type="cellIs" dxfId="1194" priority="52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93" priority="519" stopIfTrue="1" operator="greaterThanOrEqual">
      <formula>5</formula>
    </cfRule>
    <cfRule type="cellIs" dxfId="1192" priority="520" stopIfTrue="1" operator="lessThanOrEqual">
      <formula>-5</formula>
    </cfRule>
  </conditionalFormatting>
  <conditionalFormatting sqref="C653:U653 C620:U620 C623:U623 C626:U626 C629:U629 C632:U632 C635:U635 C638:U638 C641:U641 C644:U644 C647:U647 C650:U650">
    <cfRule type="cellIs" dxfId="1191" priority="517" stopIfTrue="1" operator="greaterThanOrEqual">
      <formula>15</formula>
    </cfRule>
    <cfRule type="cellIs" dxfId="1190" priority="51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89" priority="515" stopIfTrue="1" operator="greaterThanOrEqual">
      <formula>5</formula>
    </cfRule>
    <cfRule type="cellIs" dxfId="1188" priority="516" stopIfTrue="1" operator="lessThanOrEqual">
      <formula>-5</formula>
    </cfRule>
  </conditionalFormatting>
  <conditionalFormatting sqref="C653:U653 C620:U620 C623:U623 C626:U626 C629:U629 C632:U632 C635:U635 C638:U638 C641:U641 C644:U644 C647:U647 C650:U650">
    <cfRule type="cellIs" dxfId="1187" priority="513" stopIfTrue="1" operator="greaterThanOrEqual">
      <formula>15</formula>
    </cfRule>
    <cfRule type="cellIs" dxfId="1186" priority="51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85" priority="511" stopIfTrue="1" operator="greaterThanOrEqual">
      <formula>5</formula>
    </cfRule>
    <cfRule type="cellIs" dxfId="1184" priority="512" stopIfTrue="1" operator="lessThanOrEqual">
      <formula>-5</formula>
    </cfRule>
  </conditionalFormatting>
  <conditionalFormatting sqref="C653:U653 C620:U620 C623:U623 C626:U626 C629:U629 C632:U632 C635:U635 C638:U638 C641:U641 C644:U644 C647:U647 C650:U650">
    <cfRule type="cellIs" dxfId="1183" priority="509" stopIfTrue="1" operator="greaterThanOrEqual">
      <formula>15</formula>
    </cfRule>
    <cfRule type="cellIs" dxfId="1182" priority="51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81" priority="507" stopIfTrue="1" operator="greaterThanOrEqual">
      <formula>5</formula>
    </cfRule>
    <cfRule type="cellIs" dxfId="1180" priority="508"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179" priority="506"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178" priority="505"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177" priority="503" stopIfTrue="1" operator="greaterThanOrEqual">
      <formula>5</formula>
    </cfRule>
    <cfRule type="cellIs" dxfId="1176" priority="50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175" priority="501" stopIfTrue="1" operator="greaterThanOrEqual">
      <formula>5</formula>
    </cfRule>
    <cfRule type="cellIs" dxfId="1174" priority="50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173" priority="499" stopIfTrue="1" operator="greaterThanOrEqual">
      <formula>5</formula>
    </cfRule>
    <cfRule type="cellIs" dxfId="1172" priority="50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171" priority="497" stopIfTrue="1" operator="greaterThanOrEqual">
      <formula>5</formula>
    </cfRule>
    <cfRule type="cellIs" dxfId="1170" priority="49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169" priority="495" stopIfTrue="1" operator="greaterThanOrEqual">
      <formula>5</formula>
    </cfRule>
    <cfRule type="cellIs" dxfId="1168" priority="496"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167" priority="494"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166" priority="493"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165" priority="491" stopIfTrue="1" operator="greaterThanOrEqual">
      <formula>5</formula>
    </cfRule>
    <cfRule type="cellIs" dxfId="1164" priority="49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163" priority="489" stopIfTrue="1" operator="greaterThanOrEqual">
      <formula>5</formula>
    </cfRule>
    <cfRule type="cellIs" dxfId="1162" priority="49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161" priority="487" stopIfTrue="1" operator="greaterThanOrEqual">
      <formula>5</formula>
    </cfRule>
    <cfRule type="cellIs" dxfId="1160" priority="48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159" priority="485" stopIfTrue="1" operator="greaterThanOrEqual">
      <formula>5</formula>
    </cfRule>
    <cfRule type="cellIs" dxfId="1158" priority="486"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157" priority="484"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156" priority="483" stopIfTrue="1" operator="lessThanOrEqual">
      <formula>-5</formula>
    </cfRule>
  </conditionalFormatting>
  <conditionalFormatting sqref="T299:U299 T302:U302 T305:U305 T308:U308 T311:U311 T314:U314 T317:U317 T320:U320 T323:U323 T326:U326 T329:U329 T296:U296">
    <cfRule type="cellIs" dxfId="1155" priority="481" stopIfTrue="1" operator="greaterThanOrEqual">
      <formula>5</formula>
    </cfRule>
    <cfRule type="cellIs" dxfId="1154" priority="482" stopIfTrue="1" operator="lessThanOrEqual">
      <formula>-5</formula>
    </cfRule>
  </conditionalFormatting>
  <conditionalFormatting sqref="T299:U299 T302:U302 T305:U305 T308:U308 T311:U311 T314:U314 T317:U317 T320:U320 T323:U323 T326:U326 T329:U329 T296:U296">
    <cfRule type="cellIs" dxfId="1153" priority="479" stopIfTrue="1" operator="greaterThanOrEqual">
      <formula>5</formula>
    </cfRule>
    <cfRule type="cellIs" dxfId="1152" priority="480" stopIfTrue="1" operator="lessThanOrEqual">
      <formula>-5</formula>
    </cfRule>
  </conditionalFormatting>
  <conditionalFormatting sqref="T299:U299 T302:U302 T305:U305 T308:U308 T311:U311 T314:U314 T317:U317 T320:U320 T323:U323 T326:U326 T329:U329 T296:U296">
    <cfRule type="cellIs" dxfId="1151" priority="477" stopIfTrue="1" operator="greaterThanOrEqual">
      <formula>5</formula>
    </cfRule>
    <cfRule type="cellIs" dxfId="1150" priority="478" stopIfTrue="1" operator="lessThanOrEqual">
      <formula>-5</formula>
    </cfRule>
  </conditionalFormatting>
  <conditionalFormatting sqref="T299:U299 T302:U302 T305:U305 T308:U308 T311:U311 T314:U314 T317:U317 T320:U320 T323:U323 T326:U326 T329:U329 T296:U296">
    <cfRule type="cellIs" dxfId="1149" priority="475" stopIfTrue="1" operator="greaterThanOrEqual">
      <formula>5</formula>
    </cfRule>
    <cfRule type="cellIs" dxfId="1148" priority="476" stopIfTrue="1" operator="lessThanOrEqual">
      <formula>-5</formula>
    </cfRule>
  </conditionalFormatting>
  <conditionalFormatting sqref="T299:U299 T302:U302 T305:U305 T308:U308 T311:U311 T314:U314 T317:U317 T320:U320 T323:U323 T326:U326 T329:U329 T296:U296">
    <cfRule type="cellIs" dxfId="1147" priority="473" stopIfTrue="1" operator="greaterThanOrEqual">
      <formula>5</formula>
    </cfRule>
    <cfRule type="cellIs" dxfId="1146" priority="474"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145" priority="472"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144" priority="471" stopIfTrue="1" operator="lessThanOrEqual">
      <formula>-5</formula>
    </cfRule>
  </conditionalFormatting>
  <conditionalFormatting sqref="T299:U299 T302:U302 T305:U305 T308:U308 T311:U311 T314:U314 T317:U317 T320:U320 T323:U323 T326:U326 T329:U329 T296:U296">
    <cfRule type="cellIs" dxfId="1143" priority="469" stopIfTrue="1" operator="greaterThanOrEqual">
      <formula>5</formula>
    </cfRule>
    <cfRule type="cellIs" dxfId="1142" priority="470" stopIfTrue="1" operator="lessThanOrEqual">
      <formula>-5</formula>
    </cfRule>
  </conditionalFormatting>
  <conditionalFormatting sqref="T299:U299 T302:U302 T305:U305 T308:U308 T311:U311 T314:U314 T317:U317 T320:U320 T323:U323 T326:U326 T329:U329 T296:U296">
    <cfRule type="cellIs" dxfId="1141" priority="467" stopIfTrue="1" operator="greaterThanOrEqual">
      <formula>5</formula>
    </cfRule>
    <cfRule type="cellIs" dxfId="1140" priority="468" stopIfTrue="1" operator="lessThanOrEqual">
      <formula>-5</formula>
    </cfRule>
  </conditionalFormatting>
  <conditionalFormatting sqref="T299:U299 T302:U302 T305:U305 T308:U308 T311:U311 T314:U314 T317:U317 T320:U320 T323:U323 T326:U326 T329:U329 T296:U296">
    <cfRule type="cellIs" dxfId="1139" priority="465" stopIfTrue="1" operator="greaterThanOrEqual">
      <formula>5</formula>
    </cfRule>
    <cfRule type="cellIs" dxfId="1138" priority="466" stopIfTrue="1" operator="lessThanOrEqual">
      <formula>-5</formula>
    </cfRule>
  </conditionalFormatting>
  <conditionalFormatting sqref="T299:U299 T302:U302 T305:U305 T308:U308 T311:U311 T314:U314 T317:U317 T320:U320 T323:U323 T326:U326 T329:U329 T296:U296">
    <cfRule type="cellIs" dxfId="1137" priority="463" stopIfTrue="1" operator="greaterThanOrEqual">
      <formula>5</formula>
    </cfRule>
    <cfRule type="cellIs" dxfId="1136" priority="464"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135" priority="462"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134" priority="461"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133" priority="460"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132" priority="459" stopIfTrue="1" operator="lessThanOrEqual">
      <formula>-5</formula>
    </cfRule>
  </conditionalFormatting>
  <conditionalFormatting sqref="C653:U653 C620:U620 C623:U623 C626:U626 C629:U629 C632:U632 C635:U635 C638:U638 C641:U641 C644:U644 C647:U647 C650:U650">
    <cfRule type="cellIs" dxfId="1131" priority="457" stopIfTrue="1" operator="greaterThanOrEqual">
      <formula>15</formula>
    </cfRule>
    <cfRule type="cellIs" dxfId="1130" priority="45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29" priority="455" stopIfTrue="1" operator="greaterThanOrEqual">
      <formula>5</formula>
    </cfRule>
    <cfRule type="cellIs" dxfId="1128" priority="456" stopIfTrue="1" operator="lessThanOrEqual">
      <formula>-5</formula>
    </cfRule>
  </conditionalFormatting>
  <conditionalFormatting sqref="C653:U653 C620:U620 C623:U623 C626:U626 C629:U629 C632:U632 C635:U635 C638:U638 C641:U641 C644:U644 C647:U647 C650:U650">
    <cfRule type="cellIs" dxfId="1127" priority="453" stopIfTrue="1" operator="greaterThanOrEqual">
      <formula>15</formula>
    </cfRule>
    <cfRule type="cellIs" dxfId="1126" priority="45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25" priority="451" stopIfTrue="1" operator="greaterThanOrEqual">
      <formula>5</formula>
    </cfRule>
    <cfRule type="cellIs" dxfId="1124" priority="452" stopIfTrue="1" operator="lessThanOrEqual">
      <formula>-5</formula>
    </cfRule>
  </conditionalFormatting>
  <conditionalFormatting sqref="C653:U653 C620:U620 C623:U623 C626:U626 C629:U629 C632:U632 C635:U635 C638:U638 C641:U641 C644:U644 C647:U647 C650:U650">
    <cfRule type="cellIs" dxfId="1123" priority="449" stopIfTrue="1" operator="greaterThanOrEqual">
      <formula>15</formula>
    </cfRule>
    <cfRule type="cellIs" dxfId="1122" priority="45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21" priority="447" stopIfTrue="1" operator="greaterThanOrEqual">
      <formula>5</formula>
    </cfRule>
    <cfRule type="cellIs" dxfId="1120" priority="448" stopIfTrue="1" operator="lessThanOrEqual">
      <formula>-5</formula>
    </cfRule>
  </conditionalFormatting>
  <conditionalFormatting sqref="C653:U653 C620:U620 C623:U623 C626:U626 C629:U629 C632:U632 C635:U635 C638:U638 C641:U641 C644:U644 C647:U647 C650:U650">
    <cfRule type="cellIs" dxfId="1119" priority="445" stopIfTrue="1" operator="greaterThanOrEqual">
      <formula>15</formula>
    </cfRule>
    <cfRule type="cellIs" dxfId="1118" priority="44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17" priority="443" stopIfTrue="1" operator="greaterThanOrEqual">
      <formula>5</formula>
    </cfRule>
    <cfRule type="cellIs" dxfId="1116" priority="444" stopIfTrue="1" operator="lessThanOrEqual">
      <formula>-5</formula>
    </cfRule>
  </conditionalFormatting>
  <conditionalFormatting sqref="C653:U653 C620:U620 C623:U623 C626:U626 C629:U629 C632:U632 C635:U635 C638:U638 C641:U641 C644:U644 C647:U647 C650:U650">
    <cfRule type="cellIs" dxfId="1115" priority="441" stopIfTrue="1" operator="greaterThanOrEqual">
      <formula>15</formula>
    </cfRule>
    <cfRule type="cellIs" dxfId="1114" priority="44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13" priority="439" stopIfTrue="1" operator="greaterThanOrEqual">
      <formula>5</formula>
    </cfRule>
    <cfRule type="cellIs" dxfId="1112" priority="440"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111" priority="438"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110" priority="437"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109" priority="436"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108" priority="435" stopIfTrue="1" operator="lessThanOrEqual">
      <formula>-5</formula>
    </cfRule>
  </conditionalFormatting>
  <conditionalFormatting sqref="C653:U653 C620:U620 C623:U623 C626:U626 C629:U629 C632:U632 C635:U635 C638:U638 C641:U641 C644:U644 C647:U647 C650:U650">
    <cfRule type="cellIs" dxfId="1107" priority="433" stopIfTrue="1" operator="greaterThanOrEqual">
      <formula>15</formula>
    </cfRule>
    <cfRule type="cellIs" dxfId="1106" priority="43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05" priority="431" stopIfTrue="1" operator="greaterThanOrEqual">
      <formula>5</formula>
    </cfRule>
    <cfRule type="cellIs" dxfId="1104" priority="432" stopIfTrue="1" operator="lessThanOrEqual">
      <formula>-5</formula>
    </cfRule>
  </conditionalFormatting>
  <conditionalFormatting sqref="C653:U653 C620:U620 C623:U623 C626:U626 C629:U629 C632:U632 C635:U635 C638:U638 C641:U641 C644:U644 C647:U647 C650:U650">
    <cfRule type="cellIs" dxfId="1103" priority="429" stopIfTrue="1" operator="greaterThanOrEqual">
      <formula>15</formula>
    </cfRule>
    <cfRule type="cellIs" dxfId="1102" priority="43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101" priority="427" stopIfTrue="1" operator="greaterThanOrEqual">
      <formula>5</formula>
    </cfRule>
    <cfRule type="cellIs" dxfId="1100" priority="428" stopIfTrue="1" operator="lessThanOrEqual">
      <formula>-5</formula>
    </cfRule>
  </conditionalFormatting>
  <conditionalFormatting sqref="C653:U653 C620:U620 C623:U623 C626:U626 C629:U629 C632:U632 C635:U635 C638:U638 C641:U641 C644:U644 C647:U647 C650:U650">
    <cfRule type="cellIs" dxfId="1099" priority="425" stopIfTrue="1" operator="greaterThanOrEqual">
      <formula>15</formula>
    </cfRule>
    <cfRule type="cellIs" dxfId="1098" priority="42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97" priority="423" stopIfTrue="1" operator="greaterThanOrEqual">
      <formula>5</formula>
    </cfRule>
    <cfRule type="cellIs" dxfId="1096" priority="424" stopIfTrue="1" operator="lessThanOrEqual">
      <formula>-5</formula>
    </cfRule>
  </conditionalFormatting>
  <conditionalFormatting sqref="C653:U653 C620:U620 C623:U623 C626:U626 C629:U629 C632:U632 C635:U635 C638:U638 C641:U641 C644:U644 C647:U647 C650:U650">
    <cfRule type="cellIs" dxfId="1095" priority="421" stopIfTrue="1" operator="greaterThanOrEqual">
      <formula>15</formula>
    </cfRule>
    <cfRule type="cellIs" dxfId="1094" priority="42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93" priority="419" stopIfTrue="1" operator="greaterThanOrEqual">
      <formula>5</formula>
    </cfRule>
    <cfRule type="cellIs" dxfId="1092" priority="420"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091" priority="418"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090" priority="417"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89" priority="415" stopIfTrue="1" operator="greaterThanOrEqual">
      <formula>5</formula>
    </cfRule>
    <cfRule type="cellIs" dxfId="1088" priority="41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87" priority="413" stopIfTrue="1" operator="greaterThanOrEqual">
      <formula>5</formula>
    </cfRule>
    <cfRule type="cellIs" dxfId="1086" priority="41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85" priority="411" stopIfTrue="1" operator="greaterThanOrEqual">
      <formula>5</formula>
    </cfRule>
    <cfRule type="cellIs" dxfId="1084" priority="41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83" priority="409" stopIfTrue="1" operator="greaterThanOrEqual">
      <formula>5</formula>
    </cfRule>
    <cfRule type="cellIs" dxfId="1082" priority="41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81" priority="407" stopIfTrue="1" operator="greaterThanOrEqual">
      <formula>5</formula>
    </cfRule>
    <cfRule type="cellIs" dxfId="1080" priority="408"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079" priority="406"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078" priority="405"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77" priority="403" stopIfTrue="1" operator="greaterThanOrEqual">
      <formula>5</formula>
    </cfRule>
    <cfRule type="cellIs" dxfId="1076" priority="40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75" priority="401" stopIfTrue="1" operator="greaterThanOrEqual">
      <formula>5</formula>
    </cfRule>
    <cfRule type="cellIs" dxfId="1074" priority="40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73" priority="399" stopIfTrue="1" operator="greaterThanOrEqual">
      <formula>5</formula>
    </cfRule>
    <cfRule type="cellIs" dxfId="1072" priority="40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71" priority="397" stopIfTrue="1" operator="greaterThanOrEqual">
      <formula>5</formula>
    </cfRule>
    <cfRule type="cellIs" dxfId="1070" priority="398"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069" priority="396"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068" priority="395"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067" priority="394"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066" priority="393" stopIfTrue="1" operator="lessThanOrEqual">
      <formula>-5</formula>
    </cfRule>
  </conditionalFormatting>
  <conditionalFormatting sqref="C653:U653 C620:U620 C623:U623 C626:U626 C629:U629 C632:U632 C635:U635 C638:U638 C641:U641 C644:U644 C647:U647 C650:U650">
    <cfRule type="cellIs" dxfId="1065" priority="391" stopIfTrue="1" operator="greaterThanOrEqual">
      <formula>15</formula>
    </cfRule>
    <cfRule type="cellIs" dxfId="1064" priority="39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63" priority="389" stopIfTrue="1" operator="greaterThanOrEqual">
      <formula>5</formula>
    </cfRule>
    <cfRule type="cellIs" dxfId="1062" priority="390" stopIfTrue="1" operator="lessThanOrEqual">
      <formula>-5</formula>
    </cfRule>
  </conditionalFormatting>
  <conditionalFormatting sqref="C653:U653 C620:U620 C623:U623 C626:U626 C629:U629 C632:U632 C635:U635 C638:U638 C641:U641 C644:U644 C647:U647 C650:U650">
    <cfRule type="cellIs" dxfId="1061" priority="387" stopIfTrue="1" operator="greaterThanOrEqual">
      <formula>15</formula>
    </cfRule>
    <cfRule type="cellIs" dxfId="1060" priority="38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59" priority="385" stopIfTrue="1" operator="greaterThanOrEqual">
      <formula>5</formula>
    </cfRule>
    <cfRule type="cellIs" dxfId="1058" priority="386" stopIfTrue="1" operator="lessThanOrEqual">
      <formula>-5</formula>
    </cfRule>
  </conditionalFormatting>
  <conditionalFormatting sqref="C653:U653 C620:U620 C623:U623 C626:U626 C629:U629 C632:U632 C635:U635 C638:U638 C641:U641 C644:U644 C647:U647 C650:U650">
    <cfRule type="cellIs" dxfId="1057" priority="383" stopIfTrue="1" operator="greaterThanOrEqual">
      <formula>15</formula>
    </cfRule>
    <cfRule type="cellIs" dxfId="1056" priority="38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55" priority="381" stopIfTrue="1" operator="greaterThanOrEqual">
      <formula>5</formula>
    </cfRule>
    <cfRule type="cellIs" dxfId="1054" priority="382" stopIfTrue="1" operator="lessThanOrEqual">
      <formula>-5</formula>
    </cfRule>
  </conditionalFormatting>
  <conditionalFormatting sqref="C653:U653 C620:U620 C623:U623 C626:U626 C629:U629 C632:U632 C635:U635 C638:U638 C641:U641 C644:U644 C647:U647 C650:U650">
    <cfRule type="cellIs" dxfId="1053" priority="379" stopIfTrue="1" operator="greaterThanOrEqual">
      <formula>15</formula>
    </cfRule>
    <cfRule type="cellIs" dxfId="1052" priority="38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51" priority="377" stopIfTrue="1" operator="greaterThanOrEqual">
      <formula>5</formula>
    </cfRule>
    <cfRule type="cellIs" dxfId="1050" priority="378" stopIfTrue="1" operator="lessThanOrEqual">
      <formula>-5</formula>
    </cfRule>
  </conditionalFormatting>
  <conditionalFormatting sqref="C653:U653 C620:U620 C623:U623 C626:U626 C629:U629 C632:U632 C635:U635 C638:U638 C641:U641 C644:U644 C647:U647 C650:U650">
    <cfRule type="cellIs" dxfId="1049" priority="375" stopIfTrue="1" operator="greaterThanOrEqual">
      <formula>15</formula>
    </cfRule>
    <cfRule type="cellIs" dxfId="1048" priority="37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47" priority="373" stopIfTrue="1" operator="greaterThanOrEqual">
      <formula>5</formula>
    </cfRule>
    <cfRule type="cellIs" dxfId="1046" priority="374"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045" priority="372"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044" priority="371"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043" priority="370"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042" priority="369" stopIfTrue="1" operator="lessThanOrEqual">
      <formula>-5</formula>
    </cfRule>
  </conditionalFormatting>
  <conditionalFormatting sqref="C653:U653 C620:U620 C623:U623 C626:U626 C629:U629 C632:U632 C635:U635 C638:U638 C641:U641 C644:U644 C647:U647 C650:U650">
    <cfRule type="cellIs" dxfId="1041" priority="367" stopIfTrue="1" operator="greaterThanOrEqual">
      <formula>15</formula>
    </cfRule>
    <cfRule type="cellIs" dxfId="1040" priority="36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39" priority="365" stopIfTrue="1" operator="greaterThanOrEqual">
      <formula>5</formula>
    </cfRule>
    <cfRule type="cellIs" dxfId="1038" priority="366" stopIfTrue="1" operator="lessThanOrEqual">
      <formula>-5</formula>
    </cfRule>
  </conditionalFormatting>
  <conditionalFormatting sqref="C653:U653 C620:U620 C623:U623 C626:U626 C629:U629 C632:U632 C635:U635 C638:U638 C641:U641 C644:U644 C647:U647 C650:U650">
    <cfRule type="cellIs" dxfId="1037" priority="363" stopIfTrue="1" operator="greaterThanOrEqual">
      <formula>15</formula>
    </cfRule>
    <cfRule type="cellIs" dxfId="1036" priority="36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35" priority="361" stopIfTrue="1" operator="greaterThanOrEqual">
      <formula>5</formula>
    </cfRule>
    <cfRule type="cellIs" dxfId="1034" priority="362" stopIfTrue="1" operator="lessThanOrEqual">
      <formula>-5</formula>
    </cfRule>
  </conditionalFormatting>
  <conditionalFormatting sqref="C653:U653 C620:U620 C623:U623 C626:U626 C629:U629 C632:U632 C635:U635 C638:U638 C641:U641 C644:U644 C647:U647 C650:U650">
    <cfRule type="cellIs" dxfId="1033" priority="359" stopIfTrue="1" operator="greaterThanOrEqual">
      <formula>15</formula>
    </cfRule>
    <cfRule type="cellIs" dxfId="1032" priority="36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31" priority="357" stopIfTrue="1" operator="greaterThanOrEqual">
      <formula>5</formula>
    </cfRule>
    <cfRule type="cellIs" dxfId="1030" priority="358" stopIfTrue="1" operator="lessThanOrEqual">
      <formula>-5</formula>
    </cfRule>
  </conditionalFormatting>
  <conditionalFormatting sqref="C653:U653 C620:U620 C623:U623 C626:U626 C629:U629 C632:U632 C635:U635 C638:U638 C641:U641 C644:U644 C647:U647 C650:U650">
    <cfRule type="cellIs" dxfId="1029" priority="355" stopIfTrue="1" operator="greaterThanOrEqual">
      <formula>15</formula>
    </cfRule>
    <cfRule type="cellIs" dxfId="1028" priority="35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1027" priority="353" stopIfTrue="1" operator="greaterThanOrEqual">
      <formula>5</formula>
    </cfRule>
    <cfRule type="cellIs" dxfId="1026" priority="354"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025" priority="352"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024" priority="351"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23" priority="349" stopIfTrue="1" operator="greaterThanOrEqual">
      <formula>5</formula>
    </cfRule>
    <cfRule type="cellIs" dxfId="1022" priority="35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21" priority="347" stopIfTrue="1" operator="greaterThanOrEqual">
      <formula>5</formula>
    </cfRule>
    <cfRule type="cellIs" dxfId="1020" priority="34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19" priority="345" stopIfTrue="1" operator="greaterThanOrEqual">
      <formula>5</formula>
    </cfRule>
    <cfRule type="cellIs" dxfId="1018" priority="34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17" priority="343" stopIfTrue="1" operator="greaterThanOrEqual">
      <formula>5</formula>
    </cfRule>
    <cfRule type="cellIs" dxfId="1016" priority="34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15" priority="341" stopIfTrue="1" operator="greaterThanOrEqual">
      <formula>5</formula>
    </cfRule>
    <cfRule type="cellIs" dxfId="1014" priority="342"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013" priority="340"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1012" priority="339"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11" priority="337" stopIfTrue="1" operator="greaterThanOrEqual">
      <formula>5</formula>
    </cfRule>
    <cfRule type="cellIs" dxfId="1010" priority="33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09" priority="335" stopIfTrue="1" operator="greaterThanOrEqual">
      <formula>5</formula>
    </cfRule>
    <cfRule type="cellIs" dxfId="1008" priority="33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07" priority="333" stopIfTrue="1" operator="greaterThanOrEqual">
      <formula>5</formula>
    </cfRule>
    <cfRule type="cellIs" dxfId="1006" priority="33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1005" priority="331" stopIfTrue="1" operator="greaterThanOrEqual">
      <formula>5</formula>
    </cfRule>
    <cfRule type="cellIs" dxfId="1004" priority="332"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003" priority="330"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1002" priority="329" stopIfTrue="1" operator="lessThanOrEqual">
      <formula>-5</formula>
    </cfRule>
  </conditionalFormatting>
  <conditionalFormatting sqref="T299:U299 T302:U302 T305:U305 T308:U308 T311:U311 T314:U314 T317:U317 T320:U320 T323:U323 T326:U326 T329:U329 T296:U296">
    <cfRule type="cellIs" dxfId="1001" priority="327" stopIfTrue="1" operator="greaterThanOrEqual">
      <formula>5</formula>
    </cfRule>
    <cfRule type="cellIs" dxfId="1000" priority="328" stopIfTrue="1" operator="lessThanOrEqual">
      <formula>-5</formula>
    </cfRule>
  </conditionalFormatting>
  <conditionalFormatting sqref="T299:U299 T302:U302 T305:U305 T308:U308 T311:U311 T314:U314 T317:U317 T320:U320 T323:U323 T326:U326 T329:U329 T296:U296">
    <cfRule type="cellIs" dxfId="999" priority="325" stopIfTrue="1" operator="greaterThanOrEqual">
      <formula>5</formula>
    </cfRule>
    <cfRule type="cellIs" dxfId="998" priority="326" stopIfTrue="1" operator="lessThanOrEqual">
      <formula>-5</formula>
    </cfRule>
  </conditionalFormatting>
  <conditionalFormatting sqref="T299:U299 T302:U302 T305:U305 T308:U308 T311:U311 T314:U314 T317:U317 T320:U320 T323:U323 T326:U326 T329:U329 T296:U296">
    <cfRule type="cellIs" dxfId="997" priority="323" stopIfTrue="1" operator="greaterThanOrEqual">
      <formula>5</formula>
    </cfRule>
    <cfRule type="cellIs" dxfId="996" priority="324" stopIfTrue="1" operator="lessThanOrEqual">
      <formula>-5</formula>
    </cfRule>
  </conditionalFormatting>
  <conditionalFormatting sqref="T299:U299 T302:U302 T305:U305 T308:U308 T311:U311 T314:U314 T317:U317 T320:U320 T323:U323 T326:U326 T329:U329 T296:U296">
    <cfRule type="cellIs" dxfId="995" priority="321" stopIfTrue="1" operator="greaterThanOrEqual">
      <formula>5</formula>
    </cfRule>
    <cfRule type="cellIs" dxfId="994" priority="322" stopIfTrue="1" operator="lessThanOrEqual">
      <formula>-5</formula>
    </cfRule>
  </conditionalFormatting>
  <conditionalFormatting sqref="T299:U299 T302:U302 T305:U305 T308:U308 T311:U311 T314:U314 T317:U317 T320:U320 T323:U323 T326:U326 T329:U329 T296:U296">
    <cfRule type="cellIs" dxfId="993" priority="319" stopIfTrue="1" operator="greaterThanOrEqual">
      <formula>5</formula>
    </cfRule>
    <cfRule type="cellIs" dxfId="992" priority="320"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991" priority="318"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990" priority="317" stopIfTrue="1" operator="lessThanOrEqual">
      <formula>-5</formula>
    </cfRule>
  </conditionalFormatting>
  <conditionalFormatting sqref="T299:U299 T302:U302 T305:U305 T308:U308 T311:U311 T314:U314 T317:U317 T320:U320 T323:U323 T326:U326 T329:U329 T296:U296">
    <cfRule type="cellIs" dxfId="989" priority="315" stopIfTrue="1" operator="greaterThanOrEqual">
      <formula>5</formula>
    </cfRule>
    <cfRule type="cellIs" dxfId="988" priority="316" stopIfTrue="1" operator="lessThanOrEqual">
      <formula>-5</formula>
    </cfRule>
  </conditionalFormatting>
  <conditionalFormatting sqref="T299:U299 T302:U302 T305:U305 T308:U308 T311:U311 T314:U314 T317:U317 T320:U320 T323:U323 T326:U326 T329:U329 T296:U296">
    <cfRule type="cellIs" dxfId="987" priority="313" stopIfTrue="1" operator="greaterThanOrEqual">
      <formula>5</formula>
    </cfRule>
    <cfRule type="cellIs" dxfId="986" priority="314" stopIfTrue="1" operator="lessThanOrEqual">
      <formula>-5</formula>
    </cfRule>
  </conditionalFormatting>
  <conditionalFormatting sqref="T299:U299 T302:U302 T305:U305 T308:U308 T311:U311 T314:U314 T317:U317 T320:U320 T323:U323 T326:U326 T329:U329 T296:U296">
    <cfRule type="cellIs" dxfId="985" priority="311" stopIfTrue="1" operator="greaterThanOrEqual">
      <formula>5</formula>
    </cfRule>
    <cfRule type="cellIs" dxfId="984" priority="312" stopIfTrue="1" operator="lessThanOrEqual">
      <formula>-5</formula>
    </cfRule>
  </conditionalFormatting>
  <conditionalFormatting sqref="T299:U299 T302:U302 T305:U305 T308:U308 T311:U311 T314:U314 T317:U317 T320:U320 T323:U323 T326:U326 T329:U329 T296:U296">
    <cfRule type="cellIs" dxfId="983" priority="309" stopIfTrue="1" operator="greaterThanOrEqual">
      <formula>5</formula>
    </cfRule>
    <cfRule type="cellIs" dxfId="982" priority="310"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981" priority="308"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980" priority="307"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979" priority="306"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978" priority="305" stopIfTrue="1" operator="lessThanOrEqual">
      <formula>-5</formula>
    </cfRule>
  </conditionalFormatting>
  <conditionalFormatting sqref="C653:U653 C620:U620 C623:U623 C626:U626 C629:U629 C632:U632 C635:U635 C638:U638 C641:U641 C644:U644 C647:U647 C650:U650">
    <cfRule type="cellIs" dxfId="977" priority="303" stopIfTrue="1" operator="greaterThanOrEqual">
      <formula>15</formula>
    </cfRule>
    <cfRule type="cellIs" dxfId="976" priority="30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75" priority="301" stopIfTrue="1" operator="greaterThanOrEqual">
      <formula>5</formula>
    </cfRule>
    <cfRule type="cellIs" dxfId="974" priority="302" stopIfTrue="1" operator="lessThanOrEqual">
      <formula>-5</formula>
    </cfRule>
  </conditionalFormatting>
  <conditionalFormatting sqref="C653:U653 C620:U620 C623:U623 C626:U626 C629:U629 C632:U632 C635:U635 C638:U638 C641:U641 C644:U644 C647:U647 C650:U650">
    <cfRule type="cellIs" dxfId="973" priority="299" stopIfTrue="1" operator="greaterThanOrEqual">
      <formula>15</formula>
    </cfRule>
    <cfRule type="cellIs" dxfId="972" priority="30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71" priority="297" stopIfTrue="1" operator="greaterThanOrEqual">
      <formula>5</formula>
    </cfRule>
    <cfRule type="cellIs" dxfId="970" priority="298" stopIfTrue="1" operator="lessThanOrEqual">
      <formula>-5</formula>
    </cfRule>
  </conditionalFormatting>
  <conditionalFormatting sqref="C653:U653 C620:U620 C623:U623 C626:U626 C629:U629 C632:U632 C635:U635 C638:U638 C641:U641 C644:U644 C647:U647 C650:U650">
    <cfRule type="cellIs" dxfId="969" priority="295" stopIfTrue="1" operator="greaterThanOrEqual">
      <formula>15</formula>
    </cfRule>
    <cfRule type="cellIs" dxfId="968" priority="29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67" priority="293" stopIfTrue="1" operator="greaterThanOrEqual">
      <formula>5</formula>
    </cfRule>
    <cfRule type="cellIs" dxfId="966" priority="294" stopIfTrue="1" operator="lessThanOrEqual">
      <formula>-5</formula>
    </cfRule>
  </conditionalFormatting>
  <conditionalFormatting sqref="C653:U653 C620:U620 C623:U623 C626:U626 C629:U629 C632:U632 C635:U635 C638:U638 C641:U641 C644:U644 C647:U647 C650:U650">
    <cfRule type="cellIs" dxfId="965" priority="291" stopIfTrue="1" operator="greaterThanOrEqual">
      <formula>15</formula>
    </cfRule>
    <cfRule type="cellIs" dxfId="964" priority="29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63" priority="289" stopIfTrue="1" operator="greaterThanOrEqual">
      <formula>5</formula>
    </cfRule>
    <cfRule type="cellIs" dxfId="962" priority="290" stopIfTrue="1" operator="lessThanOrEqual">
      <formula>-5</formula>
    </cfRule>
  </conditionalFormatting>
  <conditionalFormatting sqref="C653:U653 C620:U620 C623:U623 C626:U626 C629:U629 C632:U632 C635:U635 C638:U638 C641:U641 C644:U644 C647:U647 C650:U650">
    <cfRule type="cellIs" dxfId="961" priority="287" stopIfTrue="1" operator="greaterThanOrEqual">
      <formula>15</formula>
    </cfRule>
    <cfRule type="cellIs" dxfId="960" priority="28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59" priority="285" stopIfTrue="1" operator="greaterThanOrEqual">
      <formula>5</formula>
    </cfRule>
    <cfRule type="cellIs" dxfId="958" priority="286"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957" priority="284"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956" priority="283"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955" priority="282"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954" priority="281" stopIfTrue="1" operator="lessThanOrEqual">
      <formula>-5</formula>
    </cfRule>
  </conditionalFormatting>
  <conditionalFormatting sqref="C653:U653 C620:U620 C623:U623 C626:U626 C629:U629 C632:U632 C635:U635 C638:U638 C641:U641 C644:U644 C647:U647 C650:U650">
    <cfRule type="cellIs" dxfId="953" priority="279" stopIfTrue="1" operator="greaterThanOrEqual">
      <formula>15</formula>
    </cfRule>
    <cfRule type="cellIs" dxfId="952" priority="28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51" priority="277" stopIfTrue="1" operator="greaterThanOrEqual">
      <formula>5</formula>
    </cfRule>
    <cfRule type="cellIs" dxfId="950" priority="278" stopIfTrue="1" operator="lessThanOrEqual">
      <formula>-5</formula>
    </cfRule>
  </conditionalFormatting>
  <conditionalFormatting sqref="C653:U653 C620:U620 C623:U623 C626:U626 C629:U629 C632:U632 C635:U635 C638:U638 C641:U641 C644:U644 C647:U647 C650:U650">
    <cfRule type="cellIs" dxfId="949" priority="275" stopIfTrue="1" operator="greaterThanOrEqual">
      <formula>15</formula>
    </cfRule>
    <cfRule type="cellIs" dxfId="948" priority="27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47" priority="273" stopIfTrue="1" operator="greaterThanOrEqual">
      <formula>5</formula>
    </cfRule>
    <cfRule type="cellIs" dxfId="946" priority="274" stopIfTrue="1" operator="lessThanOrEqual">
      <formula>-5</formula>
    </cfRule>
  </conditionalFormatting>
  <conditionalFormatting sqref="C653:U653 C620:U620 C623:U623 C626:U626 C629:U629 C632:U632 C635:U635 C638:U638 C641:U641 C644:U644 C647:U647 C650:U650">
    <cfRule type="cellIs" dxfId="945" priority="271" stopIfTrue="1" operator="greaterThanOrEqual">
      <formula>15</formula>
    </cfRule>
    <cfRule type="cellIs" dxfId="944" priority="27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43" priority="269" stopIfTrue="1" operator="greaterThanOrEqual">
      <formula>5</formula>
    </cfRule>
    <cfRule type="cellIs" dxfId="942" priority="270" stopIfTrue="1" operator="lessThanOrEqual">
      <formula>-5</formula>
    </cfRule>
  </conditionalFormatting>
  <conditionalFormatting sqref="C653:U653 C620:U620 C623:U623 C626:U626 C629:U629 C632:U632 C635:U635 C638:U638 C641:U641 C644:U644 C647:U647 C650:U650">
    <cfRule type="cellIs" dxfId="941" priority="267" stopIfTrue="1" operator="greaterThanOrEqual">
      <formula>15</formula>
    </cfRule>
    <cfRule type="cellIs" dxfId="940" priority="26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39" priority="265" stopIfTrue="1" operator="greaterThanOrEqual">
      <formula>5</formula>
    </cfRule>
    <cfRule type="cellIs" dxfId="938" priority="266"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937" priority="264"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936" priority="263"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935" priority="261" stopIfTrue="1" operator="greaterThanOrEqual">
      <formula>5</formula>
    </cfRule>
    <cfRule type="cellIs" dxfId="934" priority="26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933" priority="259" stopIfTrue="1" operator="greaterThanOrEqual">
      <formula>5</formula>
    </cfRule>
    <cfRule type="cellIs" dxfId="932" priority="26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931" priority="257" stopIfTrue="1" operator="greaterThanOrEqual">
      <formula>5</formula>
    </cfRule>
    <cfRule type="cellIs" dxfId="930" priority="25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929" priority="255" stopIfTrue="1" operator="greaterThanOrEqual">
      <formula>5</formula>
    </cfRule>
    <cfRule type="cellIs" dxfId="928" priority="25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927" priority="253" stopIfTrue="1" operator="greaterThanOrEqual">
      <formula>5</formula>
    </cfRule>
    <cfRule type="cellIs" dxfId="926" priority="254"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925" priority="252"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924" priority="251"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923" priority="249" stopIfTrue="1" operator="greaterThanOrEqual">
      <formula>5</formula>
    </cfRule>
    <cfRule type="cellIs" dxfId="922" priority="25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921" priority="247" stopIfTrue="1" operator="greaterThanOrEqual">
      <formula>5</formula>
    </cfRule>
    <cfRule type="cellIs" dxfId="920" priority="24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919" priority="245" stopIfTrue="1" operator="greaterThanOrEqual">
      <formula>5</formula>
    </cfRule>
    <cfRule type="cellIs" dxfId="918" priority="24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917" priority="243" stopIfTrue="1" operator="greaterThanOrEqual">
      <formula>5</formula>
    </cfRule>
    <cfRule type="cellIs" dxfId="916" priority="244"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915" priority="242"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914" priority="241"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913" priority="240"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912" priority="239" stopIfTrue="1" operator="lessThanOrEqual">
      <formula>-5</formula>
    </cfRule>
  </conditionalFormatting>
  <conditionalFormatting sqref="C653:U653 C620:U620 C623:U623 C626:U626 C629:U629 C632:U632 C635:U635 C638:U638 C641:U641 C644:U644 C647:U647 C650:U650">
    <cfRule type="cellIs" dxfId="911" priority="237" stopIfTrue="1" operator="greaterThanOrEqual">
      <formula>15</formula>
    </cfRule>
    <cfRule type="cellIs" dxfId="910" priority="23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09" priority="235" stopIfTrue="1" operator="greaterThanOrEqual">
      <formula>5</formula>
    </cfRule>
    <cfRule type="cellIs" dxfId="908" priority="236" stopIfTrue="1" operator="lessThanOrEqual">
      <formula>-5</formula>
    </cfRule>
  </conditionalFormatting>
  <conditionalFormatting sqref="C653:U653 C620:U620 C623:U623 C626:U626 C629:U629 C632:U632 C635:U635 C638:U638 C641:U641 C644:U644 C647:U647 C650:U650">
    <cfRule type="cellIs" dxfId="907" priority="233" stopIfTrue="1" operator="greaterThanOrEqual">
      <formula>15</formula>
    </cfRule>
    <cfRule type="cellIs" dxfId="906" priority="23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05" priority="231" stopIfTrue="1" operator="greaterThanOrEqual">
      <formula>5</formula>
    </cfRule>
    <cfRule type="cellIs" dxfId="904" priority="232" stopIfTrue="1" operator="lessThanOrEqual">
      <formula>-5</formula>
    </cfRule>
  </conditionalFormatting>
  <conditionalFormatting sqref="C653:U653 C620:U620 C623:U623 C626:U626 C629:U629 C632:U632 C635:U635 C638:U638 C641:U641 C644:U644 C647:U647 C650:U650">
    <cfRule type="cellIs" dxfId="903" priority="229" stopIfTrue="1" operator="greaterThanOrEqual">
      <formula>15</formula>
    </cfRule>
    <cfRule type="cellIs" dxfId="902" priority="23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901" priority="227" stopIfTrue="1" operator="greaterThanOrEqual">
      <formula>5</formula>
    </cfRule>
    <cfRule type="cellIs" dxfId="900" priority="228" stopIfTrue="1" operator="lessThanOrEqual">
      <formula>-5</formula>
    </cfRule>
  </conditionalFormatting>
  <conditionalFormatting sqref="C653:U653 C620:U620 C623:U623 C626:U626 C629:U629 C632:U632 C635:U635 C638:U638 C641:U641 C644:U644 C647:U647 C650:U650">
    <cfRule type="cellIs" dxfId="899" priority="225" stopIfTrue="1" operator="greaterThanOrEqual">
      <formula>15</formula>
    </cfRule>
    <cfRule type="cellIs" dxfId="898" priority="22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97" priority="223" stopIfTrue="1" operator="greaterThanOrEqual">
      <formula>5</formula>
    </cfRule>
    <cfRule type="cellIs" dxfId="896" priority="224" stopIfTrue="1" operator="lessThanOrEqual">
      <formula>-5</formula>
    </cfRule>
  </conditionalFormatting>
  <conditionalFormatting sqref="C653:U653 C620:U620 C623:U623 C626:U626 C629:U629 C632:U632 C635:U635 C638:U638 C641:U641 C644:U644 C647:U647 C650:U650">
    <cfRule type="cellIs" dxfId="895" priority="221" stopIfTrue="1" operator="greaterThanOrEqual">
      <formula>15</formula>
    </cfRule>
    <cfRule type="cellIs" dxfId="894" priority="22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93" priority="219" stopIfTrue="1" operator="greaterThanOrEqual">
      <formula>5</formula>
    </cfRule>
    <cfRule type="cellIs" dxfId="892" priority="220"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891" priority="218"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890" priority="217"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889" priority="216"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888" priority="215" stopIfTrue="1" operator="lessThanOrEqual">
      <formula>-5</formula>
    </cfRule>
  </conditionalFormatting>
  <conditionalFormatting sqref="C653:U653 C620:U620 C623:U623 C626:U626 C629:U629 C632:U632 C635:U635 C638:U638 C641:U641 C644:U644 C647:U647 C650:U650">
    <cfRule type="cellIs" dxfId="887" priority="213" stopIfTrue="1" operator="greaterThanOrEqual">
      <formula>15</formula>
    </cfRule>
    <cfRule type="cellIs" dxfId="886" priority="21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85" priority="211" stopIfTrue="1" operator="greaterThanOrEqual">
      <formula>5</formula>
    </cfRule>
    <cfRule type="cellIs" dxfId="884" priority="212" stopIfTrue="1" operator="lessThanOrEqual">
      <formula>-5</formula>
    </cfRule>
  </conditionalFormatting>
  <conditionalFormatting sqref="C653:U653 C620:U620 C623:U623 C626:U626 C629:U629 C632:U632 C635:U635 C638:U638 C641:U641 C644:U644 C647:U647 C650:U650">
    <cfRule type="cellIs" dxfId="883" priority="209" stopIfTrue="1" operator="greaterThanOrEqual">
      <formula>15</formula>
    </cfRule>
    <cfRule type="cellIs" dxfId="882" priority="21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81" priority="207" stopIfTrue="1" operator="greaterThanOrEqual">
      <formula>5</formula>
    </cfRule>
    <cfRule type="cellIs" dxfId="880" priority="208" stopIfTrue="1" operator="lessThanOrEqual">
      <formula>-5</formula>
    </cfRule>
  </conditionalFormatting>
  <conditionalFormatting sqref="C653:U653 C620:U620 C623:U623 C626:U626 C629:U629 C632:U632 C635:U635 C638:U638 C641:U641 C644:U644 C647:U647 C650:U650">
    <cfRule type="cellIs" dxfId="879" priority="205" stopIfTrue="1" operator="greaterThanOrEqual">
      <formula>15</formula>
    </cfRule>
    <cfRule type="cellIs" dxfId="878" priority="20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77" priority="203" stopIfTrue="1" operator="greaterThanOrEqual">
      <formula>5</formula>
    </cfRule>
    <cfRule type="cellIs" dxfId="876" priority="204" stopIfTrue="1" operator="lessThanOrEqual">
      <formula>-5</formula>
    </cfRule>
  </conditionalFormatting>
  <conditionalFormatting sqref="C653:U653 C620:U620 C623:U623 C626:U626 C629:U629 C632:U632 C635:U635 C638:U638 C641:U641 C644:U644 C647:U647 C650:U650">
    <cfRule type="cellIs" dxfId="875" priority="201" stopIfTrue="1" operator="greaterThanOrEqual">
      <formula>15</formula>
    </cfRule>
    <cfRule type="cellIs" dxfId="874" priority="20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73" priority="199" stopIfTrue="1" operator="greaterThanOrEqual">
      <formula>5</formula>
    </cfRule>
    <cfRule type="cellIs" dxfId="872" priority="200"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871" priority="198"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870" priority="197"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869" priority="195" stopIfTrue="1" operator="greaterThanOrEqual">
      <formula>5</formula>
    </cfRule>
    <cfRule type="cellIs" dxfId="868" priority="19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867" priority="193" stopIfTrue="1" operator="greaterThanOrEqual">
      <formula>5</formula>
    </cfRule>
    <cfRule type="cellIs" dxfId="866" priority="19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865" priority="191" stopIfTrue="1" operator="greaterThanOrEqual">
      <formula>5</formula>
    </cfRule>
    <cfRule type="cellIs" dxfId="864" priority="19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863" priority="189" stopIfTrue="1" operator="greaterThanOrEqual">
      <formula>5</formula>
    </cfRule>
    <cfRule type="cellIs" dxfId="862" priority="19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861" priority="187" stopIfTrue="1" operator="greaterThanOrEqual">
      <formula>5</formula>
    </cfRule>
    <cfRule type="cellIs" dxfId="860" priority="188"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859" priority="186"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858" priority="185"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857" priority="183" stopIfTrue="1" operator="greaterThanOrEqual">
      <formula>5</formula>
    </cfRule>
    <cfRule type="cellIs" dxfId="856" priority="18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855" priority="181" stopIfTrue="1" operator="greaterThanOrEqual">
      <formula>5</formula>
    </cfRule>
    <cfRule type="cellIs" dxfId="854" priority="18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853" priority="179" stopIfTrue="1" operator="greaterThanOrEqual">
      <formula>5</formula>
    </cfRule>
    <cfRule type="cellIs" dxfId="852" priority="18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851" priority="177" stopIfTrue="1" operator="greaterThanOrEqual">
      <formula>5</formula>
    </cfRule>
    <cfRule type="cellIs" dxfId="850" priority="178"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849" priority="176"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848" priority="175" stopIfTrue="1" operator="lessThanOrEqual">
      <formula>-5</formula>
    </cfRule>
  </conditionalFormatting>
  <conditionalFormatting sqref="T299:U299 T302:U302 T305:U305 T308:U308 T311:U311 T314:U314 T317:U317 T320:U320 T323:U323 T326:U326 T329:U329 T296:U296">
    <cfRule type="cellIs" dxfId="847" priority="173" stopIfTrue="1" operator="greaterThanOrEqual">
      <formula>5</formula>
    </cfRule>
    <cfRule type="cellIs" dxfId="846" priority="174" stopIfTrue="1" operator="lessThanOrEqual">
      <formula>-5</formula>
    </cfRule>
  </conditionalFormatting>
  <conditionalFormatting sqref="T299:U299 T302:U302 T305:U305 T308:U308 T311:U311 T314:U314 T317:U317 T320:U320 T323:U323 T326:U326 T329:U329 T296:U296">
    <cfRule type="cellIs" dxfId="845" priority="171" stopIfTrue="1" operator="greaterThanOrEqual">
      <formula>5</formula>
    </cfRule>
    <cfRule type="cellIs" dxfId="844" priority="172" stopIfTrue="1" operator="lessThanOrEqual">
      <formula>-5</formula>
    </cfRule>
  </conditionalFormatting>
  <conditionalFormatting sqref="T299:U299 T302:U302 T305:U305 T308:U308 T311:U311 T314:U314 T317:U317 T320:U320 T323:U323 T326:U326 T329:U329 T296:U296">
    <cfRule type="cellIs" dxfId="843" priority="169" stopIfTrue="1" operator="greaterThanOrEqual">
      <formula>5</formula>
    </cfRule>
    <cfRule type="cellIs" dxfId="842" priority="170" stopIfTrue="1" operator="lessThanOrEqual">
      <formula>-5</formula>
    </cfRule>
  </conditionalFormatting>
  <conditionalFormatting sqref="T299:U299 T302:U302 T305:U305 T308:U308 T311:U311 T314:U314 T317:U317 T320:U320 T323:U323 T326:U326 T329:U329 T296:U296">
    <cfRule type="cellIs" dxfId="841" priority="167" stopIfTrue="1" operator="greaterThanOrEqual">
      <formula>5</formula>
    </cfRule>
    <cfRule type="cellIs" dxfId="840" priority="168" stopIfTrue="1" operator="lessThanOrEqual">
      <formula>-5</formula>
    </cfRule>
  </conditionalFormatting>
  <conditionalFormatting sqref="T299:U299 T302:U302 T305:U305 T308:U308 T311:U311 T314:U314 T317:U317 T320:U320 T323:U323 T326:U326 T329:U329 T296:U296">
    <cfRule type="cellIs" dxfId="839" priority="165" stopIfTrue="1" operator="greaterThanOrEqual">
      <formula>5</formula>
    </cfRule>
    <cfRule type="cellIs" dxfId="838" priority="166"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837" priority="164"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836" priority="163" stopIfTrue="1" operator="lessThanOrEqual">
      <formula>-5</formula>
    </cfRule>
  </conditionalFormatting>
  <conditionalFormatting sqref="T299:U299 T302:U302 T305:U305 T308:U308 T311:U311 T314:U314 T317:U317 T320:U320 T323:U323 T326:U326 T329:U329 T296:U296">
    <cfRule type="cellIs" dxfId="835" priority="161" stopIfTrue="1" operator="greaterThanOrEqual">
      <formula>5</formula>
    </cfRule>
    <cfRule type="cellIs" dxfId="834" priority="162" stopIfTrue="1" operator="lessThanOrEqual">
      <formula>-5</formula>
    </cfRule>
  </conditionalFormatting>
  <conditionalFormatting sqref="T299:U299 T302:U302 T305:U305 T308:U308 T311:U311 T314:U314 T317:U317 T320:U320 T323:U323 T326:U326 T329:U329 T296:U296">
    <cfRule type="cellIs" dxfId="833" priority="159" stopIfTrue="1" operator="greaterThanOrEqual">
      <formula>5</formula>
    </cfRule>
    <cfRule type="cellIs" dxfId="832" priority="160" stopIfTrue="1" operator="lessThanOrEqual">
      <formula>-5</formula>
    </cfRule>
  </conditionalFormatting>
  <conditionalFormatting sqref="T299:U299 T302:U302 T305:U305 T308:U308 T311:U311 T314:U314 T317:U317 T320:U320 T323:U323 T326:U326 T329:U329 T296:U296">
    <cfRule type="cellIs" dxfId="831" priority="157" stopIfTrue="1" operator="greaterThanOrEqual">
      <formula>5</formula>
    </cfRule>
    <cfRule type="cellIs" dxfId="830" priority="158" stopIfTrue="1" operator="lessThanOrEqual">
      <formula>-5</formula>
    </cfRule>
  </conditionalFormatting>
  <conditionalFormatting sqref="T299:U299 T302:U302 T305:U305 T308:U308 T311:U311 T314:U314 T317:U317 T320:U320 T323:U323 T326:U326 T329:U329 T296:U296">
    <cfRule type="cellIs" dxfId="829" priority="155" stopIfTrue="1" operator="greaterThanOrEqual">
      <formula>5</formula>
    </cfRule>
    <cfRule type="cellIs" dxfId="828" priority="156"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827" priority="154"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826" priority="153"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825" priority="152"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824" priority="151" stopIfTrue="1" operator="lessThanOrEqual">
      <formula>-5</formula>
    </cfRule>
  </conditionalFormatting>
  <conditionalFormatting sqref="C653:U653 C620:U620 C623:U623 C626:U626 C629:U629 C632:U632 C635:U635 C638:U638 C641:U641 C644:U644 C647:U647 C650:U650">
    <cfRule type="cellIs" dxfId="823" priority="149" stopIfTrue="1" operator="greaterThanOrEqual">
      <formula>15</formula>
    </cfRule>
    <cfRule type="cellIs" dxfId="822" priority="15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21" priority="147" stopIfTrue="1" operator="greaterThanOrEqual">
      <formula>5</formula>
    </cfRule>
    <cfRule type="cellIs" dxfId="820" priority="148" stopIfTrue="1" operator="lessThanOrEqual">
      <formula>-5</formula>
    </cfRule>
  </conditionalFormatting>
  <conditionalFormatting sqref="C653:U653 C620:U620 C623:U623 C626:U626 C629:U629 C632:U632 C635:U635 C638:U638 C641:U641 C644:U644 C647:U647 C650:U650">
    <cfRule type="cellIs" dxfId="819" priority="145" stopIfTrue="1" operator="greaterThanOrEqual">
      <formula>15</formula>
    </cfRule>
    <cfRule type="cellIs" dxfId="818" priority="14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17" priority="143" stopIfTrue="1" operator="greaterThanOrEqual">
      <formula>5</formula>
    </cfRule>
    <cfRule type="cellIs" dxfId="816" priority="144" stopIfTrue="1" operator="lessThanOrEqual">
      <formula>-5</formula>
    </cfRule>
  </conditionalFormatting>
  <conditionalFormatting sqref="C653:U653 C620:U620 C623:U623 C626:U626 C629:U629 C632:U632 C635:U635 C638:U638 C641:U641 C644:U644 C647:U647 C650:U650">
    <cfRule type="cellIs" dxfId="815" priority="141" stopIfTrue="1" operator="greaterThanOrEqual">
      <formula>15</formula>
    </cfRule>
    <cfRule type="cellIs" dxfId="814" priority="14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13" priority="139" stopIfTrue="1" operator="greaterThanOrEqual">
      <formula>5</formula>
    </cfRule>
    <cfRule type="cellIs" dxfId="812" priority="140" stopIfTrue="1" operator="lessThanOrEqual">
      <formula>-5</formula>
    </cfRule>
  </conditionalFormatting>
  <conditionalFormatting sqref="C653:U653 C620:U620 C623:U623 C626:U626 C629:U629 C632:U632 C635:U635 C638:U638 C641:U641 C644:U644 C647:U647 C650:U650">
    <cfRule type="cellIs" dxfId="811" priority="137" stopIfTrue="1" operator="greaterThanOrEqual">
      <formula>15</formula>
    </cfRule>
    <cfRule type="cellIs" dxfId="810" priority="13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09" priority="135" stopIfTrue="1" operator="greaterThanOrEqual">
      <formula>5</formula>
    </cfRule>
    <cfRule type="cellIs" dxfId="808" priority="136" stopIfTrue="1" operator="lessThanOrEqual">
      <formula>-5</formula>
    </cfRule>
  </conditionalFormatting>
  <conditionalFormatting sqref="C653:U653 C620:U620 C623:U623 C626:U626 C629:U629 C632:U632 C635:U635 C638:U638 C641:U641 C644:U644 C647:U647 C650:U650">
    <cfRule type="cellIs" dxfId="807" priority="133" stopIfTrue="1" operator="greaterThanOrEqual">
      <formula>15</formula>
    </cfRule>
    <cfRule type="cellIs" dxfId="806" priority="13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805" priority="131" stopIfTrue="1" operator="greaterThanOrEqual">
      <formula>5</formula>
    </cfRule>
    <cfRule type="cellIs" dxfId="804" priority="132"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803" priority="130"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802" priority="129"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801" priority="128"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800" priority="127" stopIfTrue="1" operator="lessThanOrEqual">
      <formula>-5</formula>
    </cfRule>
  </conditionalFormatting>
  <conditionalFormatting sqref="C653:U653 C620:U620 C623:U623 C626:U626 C629:U629 C632:U632 C635:U635 C638:U638 C641:U641 C644:U644 C647:U647 C650:U650">
    <cfRule type="cellIs" dxfId="799" priority="125" stopIfTrue="1" operator="greaterThanOrEqual">
      <formula>15</formula>
    </cfRule>
    <cfRule type="cellIs" dxfId="798" priority="12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97" priority="123" stopIfTrue="1" operator="greaterThanOrEqual">
      <formula>5</formula>
    </cfRule>
    <cfRule type="cellIs" dxfId="796" priority="124" stopIfTrue="1" operator="lessThanOrEqual">
      <formula>-5</formula>
    </cfRule>
  </conditionalFormatting>
  <conditionalFormatting sqref="C653:U653 C620:U620 C623:U623 C626:U626 C629:U629 C632:U632 C635:U635 C638:U638 C641:U641 C644:U644 C647:U647 C650:U650">
    <cfRule type="cellIs" dxfId="795" priority="121" stopIfTrue="1" operator="greaterThanOrEqual">
      <formula>15</formula>
    </cfRule>
    <cfRule type="cellIs" dxfId="794" priority="12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93" priority="119" stopIfTrue="1" operator="greaterThanOrEqual">
      <formula>5</formula>
    </cfRule>
    <cfRule type="cellIs" dxfId="792" priority="120" stopIfTrue="1" operator="lessThanOrEqual">
      <formula>-5</formula>
    </cfRule>
  </conditionalFormatting>
  <conditionalFormatting sqref="C653:U653 C620:U620 C623:U623 C626:U626 C629:U629 C632:U632 C635:U635 C638:U638 C641:U641 C644:U644 C647:U647 C650:U650">
    <cfRule type="cellIs" dxfId="791" priority="117" stopIfTrue="1" operator="greaterThanOrEqual">
      <formula>15</formula>
    </cfRule>
    <cfRule type="cellIs" dxfId="790" priority="11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89" priority="115" stopIfTrue="1" operator="greaterThanOrEqual">
      <formula>5</formula>
    </cfRule>
    <cfRule type="cellIs" dxfId="788" priority="116" stopIfTrue="1" operator="lessThanOrEqual">
      <formula>-5</formula>
    </cfRule>
  </conditionalFormatting>
  <conditionalFormatting sqref="C653:U653 C620:U620 C623:U623 C626:U626 C629:U629 C632:U632 C635:U635 C638:U638 C641:U641 C644:U644 C647:U647 C650:U650">
    <cfRule type="cellIs" dxfId="787" priority="113" stopIfTrue="1" operator="greaterThanOrEqual">
      <formula>15</formula>
    </cfRule>
    <cfRule type="cellIs" dxfId="786" priority="11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85" priority="111" stopIfTrue="1" operator="greaterThanOrEqual">
      <formula>5</formula>
    </cfRule>
    <cfRule type="cellIs" dxfId="784" priority="112"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783" priority="110"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782" priority="109"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81" priority="107" stopIfTrue="1" operator="greaterThanOrEqual">
      <formula>5</formula>
    </cfRule>
    <cfRule type="cellIs" dxfId="780" priority="10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79" priority="105" stopIfTrue="1" operator="greaterThanOrEqual">
      <formula>5</formula>
    </cfRule>
    <cfRule type="cellIs" dxfId="778" priority="10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77" priority="103" stopIfTrue="1" operator="greaterThanOrEqual">
      <formula>5</formula>
    </cfRule>
    <cfRule type="cellIs" dxfId="776" priority="10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75" priority="101" stopIfTrue="1" operator="greaterThanOrEqual">
      <formula>5</formula>
    </cfRule>
    <cfRule type="cellIs" dxfId="774" priority="10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73" priority="99" stopIfTrue="1" operator="greaterThanOrEqual">
      <formula>5</formula>
    </cfRule>
    <cfRule type="cellIs" dxfId="772" priority="100"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771" priority="98"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770" priority="97"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69" priority="95" stopIfTrue="1" operator="greaterThanOrEqual">
      <formula>5</formula>
    </cfRule>
    <cfRule type="cellIs" dxfId="768" priority="9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67" priority="93" stopIfTrue="1" operator="greaterThanOrEqual">
      <formula>5</formula>
    </cfRule>
    <cfRule type="cellIs" dxfId="766" priority="94"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65" priority="91" stopIfTrue="1" operator="greaterThanOrEqual">
      <formula>5</formula>
    </cfRule>
    <cfRule type="cellIs" dxfId="764" priority="9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63" priority="89" stopIfTrue="1" operator="greaterThanOrEqual">
      <formula>5</formula>
    </cfRule>
    <cfRule type="cellIs" dxfId="762" priority="90"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761" priority="88"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760" priority="87"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759" priority="86"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758" priority="85" stopIfTrue="1" operator="lessThanOrEqual">
      <formula>-5</formula>
    </cfRule>
  </conditionalFormatting>
  <conditionalFormatting sqref="C653:U653 C620:U620 C623:U623 C626:U626 C629:U629 C632:U632 C635:U635 C638:U638 C641:U641 C644:U644 C647:U647 C650:U650">
    <cfRule type="cellIs" dxfId="757" priority="83" stopIfTrue="1" operator="greaterThanOrEqual">
      <formula>15</formula>
    </cfRule>
    <cfRule type="cellIs" dxfId="756" priority="84"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55" priority="81" stopIfTrue="1" operator="greaterThanOrEqual">
      <formula>5</formula>
    </cfRule>
    <cfRule type="cellIs" dxfId="754" priority="82" stopIfTrue="1" operator="lessThanOrEqual">
      <formula>-5</formula>
    </cfRule>
  </conditionalFormatting>
  <conditionalFormatting sqref="C653:U653 C620:U620 C623:U623 C626:U626 C629:U629 C632:U632 C635:U635 C638:U638 C641:U641 C644:U644 C647:U647 C650:U650">
    <cfRule type="cellIs" dxfId="753" priority="79" stopIfTrue="1" operator="greaterThanOrEqual">
      <formula>15</formula>
    </cfRule>
    <cfRule type="cellIs" dxfId="752" priority="8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51" priority="77" stopIfTrue="1" operator="greaterThanOrEqual">
      <formula>5</formula>
    </cfRule>
    <cfRule type="cellIs" dxfId="750" priority="78" stopIfTrue="1" operator="lessThanOrEqual">
      <formula>-5</formula>
    </cfRule>
  </conditionalFormatting>
  <conditionalFormatting sqref="C653:U653 C620:U620 C623:U623 C626:U626 C629:U629 C632:U632 C635:U635 C638:U638 C641:U641 C644:U644 C647:U647 C650:U650">
    <cfRule type="cellIs" dxfId="749" priority="75" stopIfTrue="1" operator="greaterThanOrEqual">
      <formula>15</formula>
    </cfRule>
    <cfRule type="cellIs" dxfId="748" priority="7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47" priority="73" stopIfTrue="1" operator="greaterThanOrEqual">
      <formula>5</formula>
    </cfRule>
    <cfRule type="cellIs" dxfId="746" priority="74" stopIfTrue="1" operator="lessThanOrEqual">
      <formula>-5</formula>
    </cfRule>
  </conditionalFormatting>
  <conditionalFormatting sqref="C653:U653 C620:U620 C623:U623 C626:U626 C629:U629 C632:U632 C635:U635 C638:U638 C641:U641 C644:U644 C647:U647 C650:U650">
    <cfRule type="cellIs" dxfId="745" priority="71" stopIfTrue="1" operator="greaterThanOrEqual">
      <formula>15</formula>
    </cfRule>
    <cfRule type="cellIs" dxfId="744" priority="7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43" priority="69" stopIfTrue="1" operator="greaterThanOrEqual">
      <formula>5</formula>
    </cfRule>
    <cfRule type="cellIs" dxfId="742" priority="70" stopIfTrue="1" operator="lessThanOrEqual">
      <formula>-5</formula>
    </cfRule>
  </conditionalFormatting>
  <conditionalFormatting sqref="C653:U653 C620:U620 C623:U623 C626:U626 C629:U629 C632:U632 C635:U635 C638:U638 C641:U641 C644:U644 C647:U647 C650:U650">
    <cfRule type="cellIs" dxfId="741" priority="67" stopIfTrue="1" operator="greaterThanOrEqual">
      <formula>15</formula>
    </cfRule>
    <cfRule type="cellIs" dxfId="740" priority="6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39" priority="65" stopIfTrue="1" operator="greaterThanOrEqual">
      <formula>5</formula>
    </cfRule>
    <cfRule type="cellIs" dxfId="738" priority="66"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737" priority="64"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736" priority="63" stopIfTrue="1" operator="lessThanOrEqual">
      <formula>-15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735" priority="62" stopIfTrue="1" operator="greaterThanOrEqual">
      <formula>5</formula>
    </cfRule>
  </conditionalFormatting>
  <conditionalFormatting pivot="1"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734" priority="61" stopIfTrue="1" operator="lessThanOrEqual">
      <formula>-5</formula>
    </cfRule>
  </conditionalFormatting>
  <conditionalFormatting sqref="C653:U653 C620:U620 C623:U623 C626:U626 C629:U629 C632:U632 C635:U635 C638:U638 C641:U641 C644:U644 C647:U647 C650:U650">
    <cfRule type="cellIs" dxfId="733" priority="59" stopIfTrue="1" operator="greaterThanOrEqual">
      <formula>15</formula>
    </cfRule>
    <cfRule type="cellIs" dxfId="732" priority="60"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31" priority="57" stopIfTrue="1" operator="greaterThanOrEqual">
      <formula>5</formula>
    </cfRule>
    <cfRule type="cellIs" dxfId="730" priority="58" stopIfTrue="1" operator="lessThanOrEqual">
      <formula>-5</formula>
    </cfRule>
  </conditionalFormatting>
  <conditionalFormatting sqref="C653:U653 C620:U620 C623:U623 C626:U626 C629:U629 C632:U632 C635:U635 C638:U638 C641:U641 C644:U644 C647:U647 C650:U650">
    <cfRule type="cellIs" dxfId="729" priority="55" stopIfTrue="1" operator="greaterThanOrEqual">
      <formula>15</formula>
    </cfRule>
    <cfRule type="cellIs" dxfId="728" priority="56"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27" priority="53" stopIfTrue="1" operator="greaterThanOrEqual">
      <formula>5</formula>
    </cfRule>
    <cfRule type="cellIs" dxfId="726" priority="54" stopIfTrue="1" operator="lessThanOrEqual">
      <formula>-5</formula>
    </cfRule>
  </conditionalFormatting>
  <conditionalFormatting sqref="C653:U653 C620:U620 C623:U623 C626:U626 C629:U629 C632:U632 C635:U635 C638:U638 C641:U641 C644:U644 C647:U647 C650:U650">
    <cfRule type="cellIs" dxfId="725" priority="51" stopIfTrue="1" operator="greaterThanOrEqual">
      <formula>15</formula>
    </cfRule>
    <cfRule type="cellIs" dxfId="724" priority="52"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23" priority="49" stopIfTrue="1" operator="greaterThanOrEqual">
      <formula>5</formula>
    </cfRule>
    <cfRule type="cellIs" dxfId="722" priority="50" stopIfTrue="1" operator="lessThanOrEqual">
      <formula>-5</formula>
    </cfRule>
  </conditionalFormatting>
  <conditionalFormatting sqref="C653:U653 C620:U620 C623:U623 C626:U626 C629:U629 C632:U632 C635:U635 C638:U638 C641:U641 C644:U644 C647:U647 C650:U650">
    <cfRule type="cellIs" dxfId="721" priority="47" stopIfTrue="1" operator="greaterThanOrEqual">
      <formula>15</formula>
    </cfRule>
    <cfRule type="cellIs" dxfId="720" priority="48" stopIfTrue="1" operator="lessThanOrEqual">
      <formula>-15</formula>
    </cfRule>
  </conditionalFormatting>
  <conditionalFormatting sqref="T47:U47 T50:U50 T53:U53 T56:U56 T59:U59 T62:U62 T65:U65 T68:U68 T71:U71 T74:U74 T77:U77 T8:U8 T11:U11 T14:U14 T17:U17 T20:U20 T23:U23 T26:U26 T29:U29 T32:U32 T35:U35 T38:U38 T41:U41 T80:U80 T83:U83 T86:U86 T89:U89 T92:U92 T95:U95 T98:U98 T101:U101 T104:U104 T107:U107 T110:U110 T113:U113 T116:U116 T119:U119 T122:U122 T125:U125 T128:U128 T131:U131 T134:U134 T137:U137 T140:U140 T143:U143 T146:U146 T149:U149 T152:U152 T155:U155 T158:U158 T161:U161 T164:U164 T167:U167 T170:U170 T173:U173 T176:U176 T179:U179 T182:U182 T185:U185 T188:U188 T191:U191 T194:U194 T197:U197 T200:U200 T203:U203 T206:U206 T209:U209 T212:U212 T215:U215 T218:U218 T221:U221 T224:U224 T227:U227 T230:U230 T233:U233 T236:U236 T239:U239 T242:U242 T245:U245 T248:U248 T251:U251 T254:U254 T257:U257 T260:U260 T263:U263 T266:U266 T269:U269 T272:U272 T275:U275 T278:U278 T281:U281 T284:U284 T287:U287 T290:U290 T293:U293 T296:U296 T299:U299 T302:U302 T305:U305 T308:U308 T311:U311 T314:U314 T317:U317 T320:U320 T323:U323 T326:U326 T329:U329 T332:U332 T335:U335 T338:U338 T341:U341 T344:U344 T347:U347 T350:U350 T353:U353 T356:U356 T359:U359 T362:U362 T365:U365 T368:U368 T371:U371 T374:U374 T377:U377 T380:U380 T383:U383 T386:U386 T389:U389 T392:U392 T395:U395 T398:U398 T401:U401 T404:U404 T407:U407 T410:U410 T413:U413 T416:U416 T419:U419 T422:U422 T425:U425 T428:U428 T431:U431 T434:U434 T437:U437 T440:U440 T443:U443 T446:U446 T449:U449 T452:U452 T455:U455 T458:U458 T461:U461 T464:U464 T467:U467 T470:U470 T473:U473 T476:U476 T479:U479 T482:U482 T485:U485 T488:U488 T491:U491 T494:U494 T497:U497 T500:U500 T503:U503 T506:U506 T509:U509 T512:U512 T515:U515 T518:U518 T521:U521 T524:U524 T527:U527 T530:U530 T533:U533 T536:U536 T539:U539 T542:U542 T545:U545 T548:U548 T551:U551 T554:U554 T557:U557 T560:U560 T563:U563 T566:U566 T569:U569 T572:U572 T575:U575 T578:U578 T581:U581 T44:U44">
    <cfRule type="cellIs" dxfId="719" priority="45" stopIfTrue="1" operator="greaterThanOrEqual">
      <formula>5</formula>
    </cfRule>
    <cfRule type="cellIs" dxfId="718" priority="46"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717" priority="44"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716" priority="43"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15" priority="41" stopIfTrue="1" operator="greaterThanOrEqual">
      <formula>5</formula>
    </cfRule>
    <cfRule type="cellIs" dxfId="714" priority="42"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13" priority="39" stopIfTrue="1" operator="greaterThanOrEqual">
      <formula>5</formula>
    </cfRule>
    <cfRule type="cellIs" dxfId="712" priority="4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11" priority="37" stopIfTrue="1" operator="greaterThanOrEqual">
      <formula>5</formula>
    </cfRule>
    <cfRule type="cellIs" dxfId="710" priority="3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09" priority="35" stopIfTrue="1" operator="greaterThanOrEqual">
      <formula>5</formula>
    </cfRule>
    <cfRule type="cellIs" dxfId="708" priority="3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07" priority="33" stopIfTrue="1" operator="greaterThanOrEqual">
      <formula>5</formula>
    </cfRule>
    <cfRule type="cellIs" dxfId="706" priority="34" stopIfTrue="1" operator="less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705" priority="32" stopIfTrue="1" operator="greaterThanOrEqual">
      <formula>5</formula>
    </cfRule>
  </conditionalFormatting>
  <conditionalFormatting pivot="1" sqref="J297 O297 S297 J300 O300 S300 J303 O303 S303 J306 O306 S306 J309 O309 S309 J312 O312 S312 J315 O315 S315 J318 O318 S318 J321 O321 S321 J324 O324 S324 J327 O327 S327 J330 O330 S330">
    <cfRule type="cellIs" dxfId="704" priority="31"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03" priority="29" stopIfTrue="1" operator="greaterThanOrEqual">
      <formula>5</formula>
    </cfRule>
    <cfRule type="cellIs" dxfId="702" priority="30"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701" priority="27" stopIfTrue="1" operator="greaterThanOrEqual">
      <formula>5</formula>
    </cfRule>
    <cfRule type="cellIs" dxfId="700" priority="28"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699" priority="25" stopIfTrue="1" operator="greaterThanOrEqual">
      <formula>5</formula>
    </cfRule>
    <cfRule type="cellIs" dxfId="698" priority="26" stopIfTrue="1" operator="lessThanOrEqual">
      <formula>-5</formula>
    </cfRule>
  </conditionalFormatting>
  <conditionalFormatting pivot="1" sqref="D297:I297 J297 O297 S297 D300:I300 J300 O300 S300 D303:I303 J303 O303 S303 D306:I306 J306 O306 S306 D309:I309 J309 O309 S309 D312:I312 J312 O312 S312 D315:I315 J315 O315 S315 D318:I318 J318 O318 S318 D321:I321 J321 O321 S321 D324:I324 J324 O324 S324 D327:I327 J327 O327 S327 D330:I330 J330 O330 S330">
    <cfRule type="cellIs" dxfId="697" priority="23" stopIfTrue="1" operator="greaterThanOrEqual">
      <formula>5</formula>
    </cfRule>
    <cfRule type="cellIs" dxfId="696" priority="24"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695" priority="22"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694" priority="21" stopIfTrue="1" operator="lessThanOrEqual">
      <formula>-5</formula>
    </cfRule>
  </conditionalFormatting>
  <conditionalFormatting sqref="T299:U299 T302:U302 T305:U305 T308:U308 T311:U311 T314:U314 T317:U317 T320:U320 T323:U323 T326:U326 T329:U329 T296:U296">
    <cfRule type="cellIs" dxfId="693" priority="19" stopIfTrue="1" operator="greaterThanOrEqual">
      <formula>5</formula>
    </cfRule>
    <cfRule type="cellIs" dxfId="692" priority="20" stopIfTrue="1" operator="lessThanOrEqual">
      <formula>-5</formula>
    </cfRule>
  </conditionalFormatting>
  <conditionalFormatting sqref="T299:U299 T302:U302 T305:U305 T308:U308 T311:U311 T314:U314 T317:U317 T320:U320 T323:U323 T326:U326 T329:U329 T296:U296">
    <cfRule type="cellIs" dxfId="691" priority="17" stopIfTrue="1" operator="greaterThanOrEqual">
      <formula>5</formula>
    </cfRule>
    <cfRule type="cellIs" dxfId="690" priority="18" stopIfTrue="1" operator="lessThanOrEqual">
      <formula>-5</formula>
    </cfRule>
  </conditionalFormatting>
  <conditionalFormatting sqref="T299:U299 T302:U302 T305:U305 T308:U308 T311:U311 T314:U314 T317:U317 T320:U320 T323:U323 T326:U326 T329:U329 T296:U296">
    <cfRule type="cellIs" dxfId="689" priority="15" stopIfTrue="1" operator="greaterThanOrEqual">
      <formula>5</formula>
    </cfRule>
    <cfRule type="cellIs" dxfId="688" priority="16" stopIfTrue="1" operator="lessThanOrEqual">
      <formula>-5</formula>
    </cfRule>
  </conditionalFormatting>
  <conditionalFormatting sqref="T299:U299 T302:U302 T305:U305 T308:U308 T311:U311 T314:U314 T317:U317 T320:U320 T323:U323 T326:U326 T329:U329 T296:U296">
    <cfRule type="cellIs" dxfId="687" priority="13" stopIfTrue="1" operator="greaterThanOrEqual">
      <formula>5</formula>
    </cfRule>
    <cfRule type="cellIs" dxfId="686" priority="14" stopIfTrue="1" operator="lessThanOrEqual">
      <formula>-5</formula>
    </cfRule>
  </conditionalFormatting>
  <conditionalFormatting sqref="T299:U299 T302:U302 T305:U305 T308:U308 T311:U311 T314:U314 T317:U317 T320:U320 T323:U323 T326:U326 T329:U329 T296:U296">
    <cfRule type="cellIs" dxfId="685" priority="11" stopIfTrue="1" operator="greaterThanOrEqual">
      <formula>5</formula>
    </cfRule>
    <cfRule type="cellIs" dxfId="684" priority="12" stopIfTrue="1" operator="less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683" priority="10" stopIfTrue="1" operator="greaterThanOrEqual">
      <formula>5</formula>
    </cfRule>
  </conditionalFormatting>
  <conditionalFormatting pivot="1" sqref="J296 O296 S296 J299 O299 S299 J302 O302 S302 J305 O305 S305 J308 O308 S308 J311 O311 S311 J314 O314 S314 J317 O317 S317 J320 O320 S320 J323 O323 S323 J326 O326 S326 J329 O329 S329">
    <cfRule type="cellIs" dxfId="682" priority="9" stopIfTrue="1" operator="lessThanOrEqual">
      <formula>-5</formula>
    </cfRule>
  </conditionalFormatting>
  <conditionalFormatting sqref="T299:U299 T302:U302 T305:U305 T308:U308 T311:U311 T314:U314 T317:U317 T320:U320 T323:U323 T326:U326 T329:U329 T296:U296">
    <cfRule type="cellIs" dxfId="681" priority="7" stopIfTrue="1" operator="greaterThanOrEqual">
      <formula>5</formula>
    </cfRule>
    <cfRule type="cellIs" dxfId="680" priority="8" stopIfTrue="1" operator="lessThanOrEqual">
      <formula>-5</formula>
    </cfRule>
  </conditionalFormatting>
  <conditionalFormatting sqref="T299:U299 T302:U302 T305:U305 T308:U308 T311:U311 T314:U314 T317:U317 T320:U320 T323:U323 T326:U326 T329:U329 T296:U296">
    <cfRule type="cellIs" dxfId="679" priority="5" stopIfTrue="1" operator="greaterThanOrEqual">
      <formula>5</formula>
    </cfRule>
    <cfRule type="cellIs" dxfId="678" priority="6" stopIfTrue="1" operator="lessThanOrEqual">
      <formula>-5</formula>
    </cfRule>
  </conditionalFormatting>
  <conditionalFormatting sqref="T299:U299 T302:U302 T305:U305 T308:U308 T311:U311 T314:U314 T317:U317 T320:U320 T323:U323 T326:U326 T329:U329 T296:U296">
    <cfRule type="cellIs" dxfId="677" priority="3" stopIfTrue="1" operator="greaterThanOrEqual">
      <formula>5</formula>
    </cfRule>
    <cfRule type="cellIs" dxfId="676" priority="4" stopIfTrue="1" operator="lessThanOrEqual">
      <formula>-5</formula>
    </cfRule>
  </conditionalFormatting>
  <conditionalFormatting sqref="T299:U299 T302:U302 T305:U305 T308:U308 T311:U311 T314:U314 T317:U317 T320:U320 T323:U323 T326:U326 T329:U329 T296:U296">
    <cfRule type="cellIs" dxfId="675" priority="1" stopIfTrue="1" operator="greaterThanOrEqual">
      <formula>5</formula>
    </cfRule>
    <cfRule type="cellIs" dxfId="674" priority="2" stopIfTrue="1" operator="lessThanOrEqual">
      <formula>-5</formula>
    </cfRule>
  </conditionalFormatting>
  <pageMargins left="0.5" right="0.5" top="0.75" bottom="0.75" header="0.5" footer="0.5"/>
  <pageSetup scale="70" pageOrder="overThenDown" orientation="landscape" r:id="rId2"/>
  <headerFooter alignWithMargins="0">
    <oddHeader>&amp;L&amp;"Arial,Bold"SREB-State Data Exchange&amp;C&amp;"Arial,Bold"Preliminary Tables&amp;R&amp;"Arial,Bold"Part 5: Credit/Contact hours by Types of Instruction</oddHeader>
    <oddFooter>&amp;L&amp;"Arial,Bold"For Agency Review Only&amp;R&amp;"Arial,Bold"October 2009</oddFooter>
  </headerFooter>
  <rowBreaks count="16" manualBreakCount="16">
    <brk id="41" max="18" man="1"/>
    <brk id="77" max="16383" man="1"/>
    <brk id="113" max="18" man="1"/>
    <brk id="149" max="16383" man="1"/>
    <brk id="185" max="18" man="1"/>
    <brk id="221" max="18" man="1"/>
    <brk id="257" max="18" man="1"/>
    <brk id="293" max="18" man="1"/>
    <brk id="329" max="18" man="1"/>
    <brk id="365" max="18" man="1"/>
    <brk id="401" max="18" man="1"/>
    <brk id="437" max="18" man="1"/>
    <brk id="473" max="18" man="1"/>
    <brk id="509" max="18" man="1"/>
    <brk id="545" max="18" man="1"/>
    <brk id="581" max="18" man="1"/>
  </rowBreaks>
</worksheet>
</file>

<file path=xl/worksheets/sheet7.xml><?xml version="1.0" encoding="utf-8"?>
<worksheet xmlns="http://schemas.openxmlformats.org/spreadsheetml/2006/main" xmlns:r="http://schemas.openxmlformats.org/officeDocument/2006/relationships">
  <dimension ref="A3:U653"/>
  <sheetViews>
    <sheetView workbookViewId="0">
      <selection sqref="A1:XFD1048576"/>
    </sheetView>
  </sheetViews>
  <sheetFormatPr defaultRowHeight="12.75"/>
  <cols>
    <col min="1" max="1" width="6" customWidth="1"/>
    <col min="2" max="2" width="24.42578125" bestFit="1" customWidth="1"/>
    <col min="3" max="3" width="12" bestFit="1" customWidth="1"/>
    <col min="4" max="9" width="12" style="1" bestFit="1" customWidth="1"/>
    <col min="10" max="10" width="10.140625" style="1" bestFit="1" customWidth="1"/>
    <col min="11" max="14" width="12" style="1" bestFit="1" customWidth="1"/>
    <col min="15" max="15" width="10.140625" style="1" bestFit="1" customWidth="1"/>
    <col min="16" max="18" width="11.28515625" style="1" bestFit="1" customWidth="1"/>
    <col min="19" max="19" width="9.42578125" style="1" bestFit="1" customWidth="1"/>
    <col min="20" max="20" width="9" bestFit="1" customWidth="1"/>
    <col min="21" max="21" width="8.5703125" bestFit="1" customWidth="1"/>
  </cols>
  <sheetData>
    <row r="3" spans="1:21">
      <c r="A3" s="499"/>
      <c r="B3" s="503"/>
      <c r="C3" s="3"/>
      <c r="D3" s="513"/>
      <c r="E3" s="513"/>
      <c r="F3" s="504"/>
      <c r="G3" s="504"/>
      <c r="H3" s="504"/>
      <c r="I3" s="504"/>
      <c r="J3" s="504"/>
      <c r="K3" s="504"/>
      <c r="L3" s="504"/>
      <c r="M3" s="504"/>
      <c r="N3" s="504"/>
      <c r="O3" s="504"/>
      <c r="P3" s="504"/>
      <c r="Q3" s="504"/>
      <c r="R3" s="504"/>
      <c r="S3" s="518"/>
      <c r="T3" s="504"/>
      <c r="U3" s="526"/>
    </row>
    <row r="4" spans="1:21">
      <c r="A4" s="484"/>
      <c r="B4" s="485"/>
      <c r="C4" s="486"/>
      <c r="D4" s="487"/>
      <c r="E4" s="488"/>
      <c r="F4" s="488"/>
      <c r="G4" s="488"/>
      <c r="H4" s="488"/>
      <c r="I4" s="488"/>
      <c r="J4" s="489"/>
      <c r="K4" s="486"/>
      <c r="L4" s="488"/>
      <c r="M4" s="488"/>
      <c r="N4" s="488"/>
      <c r="O4" s="486"/>
      <c r="P4" s="486"/>
      <c r="Q4" s="488"/>
      <c r="R4" s="488"/>
      <c r="S4" s="490"/>
      <c r="T4" s="3"/>
      <c r="U4" s="524"/>
    </row>
    <row r="5" spans="1:21">
      <c r="A5" s="499"/>
      <c r="B5" s="499"/>
      <c r="C5" s="3"/>
      <c r="D5" s="32"/>
      <c r="E5" s="32"/>
      <c r="F5" s="32"/>
      <c r="G5" s="32"/>
      <c r="H5" s="32"/>
      <c r="I5" s="32"/>
      <c r="J5" s="476"/>
      <c r="K5" s="3"/>
      <c r="L5" s="32"/>
      <c r="M5" s="32"/>
      <c r="N5" s="32"/>
      <c r="O5" s="462"/>
      <c r="P5" s="3"/>
      <c r="Q5" s="32"/>
      <c r="R5" s="32"/>
      <c r="S5" s="483"/>
      <c r="T5" s="3"/>
      <c r="U5" s="525"/>
    </row>
    <row r="6" spans="1:21">
      <c r="A6" s="478"/>
      <c r="B6" s="3"/>
      <c r="C6" s="536"/>
      <c r="D6" s="537"/>
      <c r="E6" s="537"/>
      <c r="F6" s="537"/>
      <c r="G6" s="537"/>
      <c r="H6" s="538"/>
      <c r="I6" s="537"/>
      <c r="J6" s="539"/>
      <c r="K6" s="536"/>
      <c r="L6" s="537"/>
      <c r="M6" s="538"/>
      <c r="N6" s="540"/>
      <c r="O6" s="536"/>
      <c r="P6" s="536"/>
      <c r="Q6" s="537"/>
      <c r="R6" s="537"/>
      <c r="S6" s="541"/>
      <c r="T6" s="536"/>
      <c r="U6" s="542"/>
    </row>
    <row r="7" spans="1:21">
      <c r="A7" s="479"/>
      <c r="B7" s="4"/>
      <c r="C7" s="543"/>
      <c r="D7" s="544"/>
      <c r="E7" s="544"/>
      <c r="F7" s="544"/>
      <c r="G7" s="544"/>
      <c r="H7" s="545"/>
      <c r="I7" s="544"/>
      <c r="J7" s="546"/>
      <c r="K7" s="543"/>
      <c r="L7" s="547"/>
      <c r="M7" s="545"/>
      <c r="N7" s="548"/>
      <c r="O7" s="543"/>
      <c r="P7" s="543"/>
      <c r="Q7" s="547"/>
      <c r="R7" s="547"/>
      <c r="S7" s="549"/>
      <c r="T7" s="543"/>
      <c r="U7" s="550"/>
    </row>
    <row r="8" spans="1:21">
      <c r="A8" s="479"/>
      <c r="B8" s="505"/>
      <c r="C8" s="510"/>
      <c r="D8" s="512"/>
      <c r="E8" s="512"/>
      <c r="F8" s="512"/>
      <c r="G8" s="512"/>
      <c r="H8" s="529"/>
      <c r="I8" s="512"/>
      <c r="J8" s="514"/>
      <c r="K8" s="510"/>
      <c r="L8" s="511"/>
      <c r="M8" s="529"/>
      <c r="N8" s="530"/>
      <c r="O8" s="510"/>
      <c r="P8" s="510"/>
      <c r="Q8" s="511"/>
      <c r="R8" s="511"/>
      <c r="S8" s="517"/>
      <c r="T8" s="510"/>
      <c r="U8" s="528"/>
    </row>
    <row r="9" spans="1:21">
      <c r="A9" s="479"/>
      <c r="B9" s="4"/>
      <c r="C9" s="536"/>
      <c r="D9" s="537"/>
      <c r="E9" s="537"/>
      <c r="F9" s="537"/>
      <c r="G9" s="537"/>
      <c r="H9" s="538"/>
      <c r="I9" s="537"/>
      <c r="J9" s="539"/>
      <c r="K9" s="536"/>
      <c r="L9" s="537"/>
      <c r="M9" s="538"/>
      <c r="N9" s="540"/>
      <c r="O9" s="536"/>
      <c r="P9" s="536"/>
      <c r="Q9" s="537"/>
      <c r="R9" s="537"/>
      <c r="S9" s="541"/>
      <c r="T9" s="536"/>
      <c r="U9" s="542"/>
    </row>
    <row r="10" spans="1:21">
      <c r="A10" s="414"/>
      <c r="B10" s="4"/>
      <c r="C10" s="543"/>
      <c r="D10" s="544"/>
      <c r="E10" s="544"/>
      <c r="F10" s="544"/>
      <c r="G10" s="544"/>
      <c r="H10" s="545"/>
      <c r="I10" s="544"/>
      <c r="J10" s="546"/>
      <c r="K10" s="543"/>
      <c r="L10" s="547"/>
      <c r="M10" s="545"/>
      <c r="N10" s="548"/>
      <c r="O10" s="543"/>
      <c r="P10" s="543"/>
      <c r="Q10" s="547"/>
      <c r="R10" s="547"/>
      <c r="S10" s="549"/>
      <c r="T10" s="543"/>
      <c r="U10" s="550"/>
    </row>
    <row r="11" spans="1:21">
      <c r="A11" s="414"/>
      <c r="B11" s="480"/>
      <c r="C11" s="510"/>
      <c r="D11" s="512"/>
      <c r="E11" s="512"/>
      <c r="F11" s="512"/>
      <c r="G11" s="512"/>
      <c r="H11" s="529"/>
      <c r="I11" s="512"/>
      <c r="J11" s="514"/>
      <c r="K11" s="510"/>
      <c r="L11" s="511"/>
      <c r="M11" s="529"/>
      <c r="N11" s="530"/>
      <c r="O11" s="510"/>
      <c r="P11" s="510"/>
      <c r="Q11" s="511"/>
      <c r="R11" s="511"/>
      <c r="S11" s="517"/>
      <c r="T11" s="510"/>
      <c r="U11" s="528"/>
    </row>
    <row r="12" spans="1:21">
      <c r="A12" s="414"/>
      <c r="B12" s="4"/>
      <c r="C12" s="536"/>
      <c r="D12" s="537"/>
      <c r="E12" s="537"/>
      <c r="F12" s="537"/>
      <c r="G12" s="537"/>
      <c r="H12" s="538"/>
      <c r="I12" s="537"/>
      <c r="J12" s="539"/>
      <c r="K12" s="536"/>
      <c r="L12" s="537"/>
      <c r="M12" s="538"/>
      <c r="N12" s="540"/>
      <c r="O12" s="536"/>
      <c r="P12" s="536"/>
      <c r="Q12" s="537"/>
      <c r="R12" s="537"/>
      <c r="S12" s="541"/>
      <c r="T12" s="536"/>
      <c r="U12" s="542"/>
    </row>
    <row r="13" spans="1:21">
      <c r="A13" s="414"/>
      <c r="B13" s="4"/>
      <c r="C13" s="543"/>
      <c r="D13" s="544"/>
      <c r="E13" s="544"/>
      <c r="F13" s="544"/>
      <c r="G13" s="544"/>
      <c r="H13" s="545"/>
      <c r="I13" s="544"/>
      <c r="J13" s="546"/>
      <c r="K13" s="543"/>
      <c r="L13" s="547"/>
      <c r="M13" s="545"/>
      <c r="N13" s="548"/>
      <c r="O13" s="543"/>
      <c r="P13" s="543"/>
      <c r="Q13" s="547"/>
      <c r="R13" s="547"/>
      <c r="S13" s="549"/>
      <c r="T13" s="543"/>
      <c r="U13" s="550"/>
    </row>
    <row r="14" spans="1:21">
      <c r="A14" s="414"/>
      <c r="B14" s="480"/>
      <c r="C14" s="510"/>
      <c r="D14" s="512"/>
      <c r="E14" s="512"/>
      <c r="F14" s="512"/>
      <c r="G14" s="512"/>
      <c r="H14" s="529"/>
      <c r="I14" s="512"/>
      <c r="J14" s="514"/>
      <c r="K14" s="510"/>
      <c r="L14" s="511"/>
      <c r="M14" s="529"/>
      <c r="N14" s="530"/>
      <c r="O14" s="510"/>
      <c r="P14" s="510"/>
      <c r="Q14" s="511"/>
      <c r="R14" s="511"/>
      <c r="S14" s="517"/>
      <c r="T14" s="510"/>
      <c r="U14" s="528"/>
    </row>
    <row r="15" spans="1:21">
      <c r="A15" s="414"/>
      <c r="B15" s="4"/>
      <c r="C15" s="536"/>
      <c r="D15" s="537"/>
      <c r="E15" s="537"/>
      <c r="F15" s="537"/>
      <c r="G15" s="537"/>
      <c r="H15" s="538"/>
      <c r="I15" s="537"/>
      <c r="J15" s="539"/>
      <c r="K15" s="536"/>
      <c r="L15" s="537"/>
      <c r="M15" s="538"/>
      <c r="N15" s="540"/>
      <c r="O15" s="536"/>
      <c r="P15" s="536"/>
      <c r="Q15" s="537"/>
      <c r="R15" s="537"/>
      <c r="S15" s="541"/>
      <c r="T15" s="536"/>
      <c r="U15" s="542"/>
    </row>
    <row r="16" spans="1:21">
      <c r="A16" s="414"/>
      <c r="B16" s="4"/>
      <c r="C16" s="543"/>
      <c r="D16" s="544"/>
      <c r="E16" s="544"/>
      <c r="F16" s="544"/>
      <c r="G16" s="544"/>
      <c r="H16" s="545"/>
      <c r="I16" s="544"/>
      <c r="J16" s="546"/>
      <c r="K16" s="543"/>
      <c r="L16" s="547"/>
      <c r="M16" s="545"/>
      <c r="N16" s="548"/>
      <c r="O16" s="543"/>
      <c r="P16" s="543"/>
      <c r="Q16" s="547"/>
      <c r="R16" s="547"/>
      <c r="S16" s="549"/>
      <c r="T16" s="543"/>
      <c r="U16" s="550"/>
    </row>
    <row r="17" spans="1:21">
      <c r="A17" s="414"/>
      <c r="B17" s="480"/>
      <c r="C17" s="510"/>
      <c r="D17" s="512"/>
      <c r="E17" s="512"/>
      <c r="F17" s="512"/>
      <c r="G17" s="512"/>
      <c r="H17" s="529"/>
      <c r="I17" s="512"/>
      <c r="J17" s="514"/>
      <c r="K17" s="510"/>
      <c r="L17" s="511"/>
      <c r="M17" s="529"/>
      <c r="N17" s="530"/>
      <c r="O17" s="510"/>
      <c r="P17" s="510"/>
      <c r="Q17" s="511"/>
      <c r="R17" s="511"/>
      <c r="S17" s="517"/>
      <c r="T17" s="510"/>
      <c r="U17" s="528"/>
    </row>
    <row r="18" spans="1:21">
      <c r="A18" s="479"/>
      <c r="B18" s="4"/>
      <c r="C18" s="536"/>
      <c r="D18" s="537"/>
      <c r="E18" s="537"/>
      <c r="F18" s="537"/>
      <c r="G18" s="537"/>
      <c r="H18" s="538"/>
      <c r="I18" s="537"/>
      <c r="J18" s="539"/>
      <c r="K18" s="536"/>
      <c r="L18" s="537"/>
      <c r="M18" s="538"/>
      <c r="N18" s="540"/>
      <c r="O18" s="536"/>
      <c r="P18" s="536"/>
      <c r="Q18" s="537"/>
      <c r="R18" s="537"/>
      <c r="S18" s="541"/>
      <c r="T18" s="536"/>
      <c r="U18" s="542"/>
    </row>
    <row r="19" spans="1:21">
      <c r="A19" s="479"/>
      <c r="B19" s="4"/>
      <c r="C19" s="543"/>
      <c r="D19" s="544"/>
      <c r="E19" s="544"/>
      <c r="F19" s="544"/>
      <c r="G19" s="544"/>
      <c r="H19" s="545"/>
      <c r="I19" s="544"/>
      <c r="J19" s="546"/>
      <c r="K19" s="543"/>
      <c r="L19" s="547"/>
      <c r="M19" s="545"/>
      <c r="N19" s="548"/>
      <c r="O19" s="543"/>
      <c r="P19" s="543"/>
      <c r="Q19" s="547"/>
      <c r="R19" s="547"/>
      <c r="S19" s="549"/>
      <c r="T19" s="543"/>
      <c r="U19" s="550"/>
    </row>
    <row r="20" spans="1:21">
      <c r="A20" s="479"/>
      <c r="B20" s="480"/>
      <c r="C20" s="510"/>
      <c r="D20" s="512"/>
      <c r="E20" s="512"/>
      <c r="F20" s="512"/>
      <c r="G20" s="512"/>
      <c r="H20" s="529"/>
      <c r="I20" s="512"/>
      <c r="J20" s="514"/>
      <c r="K20" s="510"/>
      <c r="L20" s="511"/>
      <c r="M20" s="529"/>
      <c r="N20" s="530"/>
      <c r="O20" s="510"/>
      <c r="P20" s="510"/>
      <c r="Q20" s="511"/>
      <c r="R20" s="511"/>
      <c r="S20" s="517"/>
      <c r="T20" s="510"/>
      <c r="U20" s="528"/>
    </row>
    <row r="21" spans="1:21">
      <c r="A21" s="479"/>
      <c r="B21" s="4"/>
      <c r="C21" s="536"/>
      <c r="D21" s="537"/>
      <c r="E21" s="537"/>
      <c r="F21" s="537"/>
      <c r="G21" s="537"/>
      <c r="H21" s="538"/>
      <c r="I21" s="537"/>
      <c r="J21" s="539"/>
      <c r="K21" s="536"/>
      <c r="L21" s="537"/>
      <c r="M21" s="538"/>
      <c r="N21" s="540"/>
      <c r="O21" s="536"/>
      <c r="P21" s="536"/>
      <c r="Q21" s="537"/>
      <c r="R21" s="537"/>
      <c r="S21" s="541"/>
      <c r="T21" s="536"/>
      <c r="U21" s="542"/>
    </row>
    <row r="22" spans="1:21">
      <c r="A22" s="479"/>
      <c r="B22" s="4"/>
      <c r="C22" s="543"/>
      <c r="D22" s="544"/>
      <c r="E22" s="544"/>
      <c r="F22" s="544"/>
      <c r="G22" s="544"/>
      <c r="H22" s="545"/>
      <c r="I22" s="544"/>
      <c r="J22" s="546"/>
      <c r="K22" s="543"/>
      <c r="L22" s="547"/>
      <c r="M22" s="545"/>
      <c r="N22" s="548"/>
      <c r="O22" s="543"/>
      <c r="P22" s="543"/>
      <c r="Q22" s="547"/>
      <c r="R22" s="547"/>
      <c r="S22" s="549"/>
      <c r="T22" s="543"/>
      <c r="U22" s="550"/>
    </row>
    <row r="23" spans="1:21">
      <c r="A23" s="479"/>
      <c r="B23" s="480"/>
      <c r="C23" s="510"/>
      <c r="D23" s="512"/>
      <c r="E23" s="512"/>
      <c r="F23" s="512"/>
      <c r="G23" s="512"/>
      <c r="H23" s="529"/>
      <c r="I23" s="512"/>
      <c r="J23" s="514"/>
      <c r="K23" s="510"/>
      <c r="L23" s="511"/>
      <c r="M23" s="529"/>
      <c r="N23" s="530"/>
      <c r="O23" s="510"/>
      <c r="P23" s="510"/>
      <c r="Q23" s="511"/>
      <c r="R23" s="511"/>
      <c r="S23" s="517"/>
      <c r="T23" s="510"/>
      <c r="U23" s="528"/>
    </row>
    <row r="24" spans="1:21">
      <c r="A24" s="479"/>
      <c r="B24" s="4"/>
      <c r="C24" s="536"/>
      <c r="D24" s="537"/>
      <c r="E24" s="537"/>
      <c r="F24" s="537"/>
      <c r="G24" s="537"/>
      <c r="H24" s="538"/>
      <c r="I24" s="537"/>
      <c r="J24" s="539"/>
      <c r="K24" s="536"/>
      <c r="L24" s="537"/>
      <c r="M24" s="538"/>
      <c r="N24" s="540"/>
      <c r="O24" s="536"/>
      <c r="P24" s="536"/>
      <c r="Q24" s="537"/>
      <c r="R24" s="537"/>
      <c r="S24" s="541"/>
      <c r="T24" s="536"/>
      <c r="U24" s="542"/>
    </row>
    <row r="25" spans="1:21">
      <c r="A25" s="479"/>
      <c r="B25" s="4"/>
      <c r="C25" s="543"/>
      <c r="D25" s="544"/>
      <c r="E25" s="544"/>
      <c r="F25" s="544"/>
      <c r="G25" s="544"/>
      <c r="H25" s="545"/>
      <c r="I25" s="544"/>
      <c r="J25" s="546"/>
      <c r="K25" s="543"/>
      <c r="L25" s="547"/>
      <c r="M25" s="545"/>
      <c r="N25" s="548"/>
      <c r="O25" s="543"/>
      <c r="P25" s="543"/>
      <c r="Q25" s="547"/>
      <c r="R25" s="547"/>
      <c r="S25" s="549"/>
      <c r="T25" s="543"/>
      <c r="U25" s="550"/>
    </row>
    <row r="26" spans="1:21">
      <c r="A26" s="479"/>
      <c r="B26" s="480"/>
      <c r="C26" s="510"/>
      <c r="D26" s="512"/>
      <c r="E26" s="512"/>
      <c r="F26" s="512"/>
      <c r="G26" s="512"/>
      <c r="H26" s="529"/>
      <c r="I26" s="512"/>
      <c r="J26" s="514"/>
      <c r="K26" s="510"/>
      <c r="L26" s="511"/>
      <c r="M26" s="529"/>
      <c r="N26" s="530"/>
      <c r="O26" s="510"/>
      <c r="P26" s="510"/>
      <c r="Q26" s="511"/>
      <c r="R26" s="511"/>
      <c r="S26" s="517"/>
      <c r="T26" s="510"/>
      <c r="U26" s="528"/>
    </row>
    <row r="27" spans="1:21">
      <c r="A27" s="479"/>
      <c r="B27" s="4"/>
      <c r="C27" s="536"/>
      <c r="D27" s="537"/>
      <c r="E27" s="537"/>
      <c r="F27" s="537"/>
      <c r="G27" s="537"/>
      <c r="H27" s="538"/>
      <c r="I27" s="537"/>
      <c r="J27" s="539"/>
      <c r="K27" s="536"/>
      <c r="L27" s="537"/>
      <c r="M27" s="538"/>
      <c r="N27" s="540"/>
      <c r="O27" s="536"/>
      <c r="P27" s="536"/>
      <c r="Q27" s="537"/>
      <c r="R27" s="537"/>
      <c r="S27" s="541"/>
      <c r="T27" s="536"/>
      <c r="U27" s="542"/>
    </row>
    <row r="28" spans="1:21">
      <c r="A28" s="479"/>
      <c r="B28" s="4"/>
      <c r="C28" s="543"/>
      <c r="D28" s="544"/>
      <c r="E28" s="544"/>
      <c r="F28" s="544"/>
      <c r="G28" s="544"/>
      <c r="H28" s="545"/>
      <c r="I28" s="544"/>
      <c r="J28" s="546"/>
      <c r="K28" s="543"/>
      <c r="L28" s="547"/>
      <c r="M28" s="545"/>
      <c r="N28" s="548"/>
      <c r="O28" s="543"/>
      <c r="P28" s="543"/>
      <c r="Q28" s="547"/>
      <c r="R28" s="547"/>
      <c r="S28" s="549"/>
      <c r="T28" s="543"/>
      <c r="U28" s="550"/>
    </row>
    <row r="29" spans="1:21">
      <c r="A29" s="479"/>
      <c r="B29" s="480"/>
      <c r="C29" s="510"/>
      <c r="D29" s="512"/>
      <c r="E29" s="512"/>
      <c r="F29" s="512"/>
      <c r="G29" s="512"/>
      <c r="H29" s="529"/>
      <c r="I29" s="512"/>
      <c r="J29" s="514"/>
      <c r="K29" s="510"/>
      <c r="L29" s="511"/>
      <c r="M29" s="529"/>
      <c r="N29" s="530"/>
      <c r="O29" s="510"/>
      <c r="P29" s="510"/>
      <c r="Q29" s="511"/>
      <c r="R29" s="511"/>
      <c r="S29" s="517"/>
      <c r="T29" s="510"/>
      <c r="U29" s="528"/>
    </row>
    <row r="30" spans="1:21">
      <c r="A30" s="479"/>
      <c r="B30" s="4"/>
      <c r="C30" s="536"/>
      <c r="D30" s="537"/>
      <c r="E30" s="537"/>
      <c r="F30" s="537"/>
      <c r="G30" s="537"/>
      <c r="H30" s="538"/>
      <c r="I30" s="537"/>
      <c r="J30" s="539"/>
      <c r="K30" s="536"/>
      <c r="L30" s="537"/>
      <c r="M30" s="538"/>
      <c r="N30" s="540"/>
      <c r="O30" s="536"/>
      <c r="P30" s="536"/>
      <c r="Q30" s="537"/>
      <c r="R30" s="537"/>
      <c r="S30" s="541"/>
      <c r="T30" s="536"/>
      <c r="U30" s="542"/>
    </row>
    <row r="31" spans="1:21">
      <c r="A31" s="479"/>
      <c r="B31" s="4"/>
      <c r="C31" s="543"/>
      <c r="D31" s="544"/>
      <c r="E31" s="544"/>
      <c r="F31" s="544"/>
      <c r="G31" s="544"/>
      <c r="H31" s="545"/>
      <c r="I31" s="544"/>
      <c r="J31" s="546"/>
      <c r="K31" s="543"/>
      <c r="L31" s="547"/>
      <c r="M31" s="545"/>
      <c r="N31" s="548"/>
      <c r="O31" s="543"/>
      <c r="P31" s="543"/>
      <c r="Q31" s="547"/>
      <c r="R31" s="547"/>
      <c r="S31" s="549"/>
      <c r="T31" s="543"/>
      <c r="U31" s="550"/>
    </row>
    <row r="32" spans="1:21">
      <c r="A32" s="479"/>
      <c r="B32" s="480"/>
      <c r="C32" s="510"/>
      <c r="D32" s="512"/>
      <c r="E32" s="512"/>
      <c r="F32" s="512"/>
      <c r="G32" s="512"/>
      <c r="H32" s="529"/>
      <c r="I32" s="512"/>
      <c r="J32" s="514"/>
      <c r="K32" s="510"/>
      <c r="L32" s="511"/>
      <c r="M32" s="529"/>
      <c r="N32" s="530"/>
      <c r="O32" s="510"/>
      <c r="P32" s="510"/>
      <c r="Q32" s="511"/>
      <c r="R32" s="511"/>
      <c r="S32" s="517"/>
      <c r="T32" s="510"/>
      <c r="U32" s="528"/>
    </row>
    <row r="33" spans="1:21">
      <c r="A33" s="479"/>
      <c r="B33" s="4"/>
      <c r="C33" s="536"/>
      <c r="D33" s="537"/>
      <c r="E33" s="537"/>
      <c r="F33" s="537"/>
      <c r="G33" s="537"/>
      <c r="H33" s="538"/>
      <c r="I33" s="537"/>
      <c r="J33" s="539"/>
      <c r="K33" s="536"/>
      <c r="L33" s="537"/>
      <c r="M33" s="538"/>
      <c r="N33" s="540"/>
      <c r="O33" s="536"/>
      <c r="P33" s="536"/>
      <c r="Q33" s="537"/>
      <c r="R33" s="537"/>
      <c r="S33" s="541"/>
      <c r="T33" s="536"/>
      <c r="U33" s="542"/>
    </row>
    <row r="34" spans="1:21">
      <c r="A34" s="479"/>
      <c r="B34" s="4"/>
      <c r="C34" s="543"/>
      <c r="D34" s="544"/>
      <c r="E34" s="544"/>
      <c r="F34" s="544"/>
      <c r="G34" s="544"/>
      <c r="H34" s="545"/>
      <c r="I34" s="544"/>
      <c r="J34" s="546"/>
      <c r="K34" s="543"/>
      <c r="L34" s="547"/>
      <c r="M34" s="545"/>
      <c r="N34" s="548"/>
      <c r="O34" s="543"/>
      <c r="P34" s="543"/>
      <c r="Q34" s="547"/>
      <c r="R34" s="547"/>
      <c r="S34" s="549"/>
      <c r="T34" s="543"/>
      <c r="U34" s="550"/>
    </row>
    <row r="35" spans="1:21">
      <c r="A35" s="479"/>
      <c r="B35" s="480"/>
      <c r="C35" s="510"/>
      <c r="D35" s="512"/>
      <c r="E35" s="512"/>
      <c r="F35" s="512"/>
      <c r="G35" s="512"/>
      <c r="H35" s="529"/>
      <c r="I35" s="512"/>
      <c r="J35" s="514"/>
      <c r="K35" s="510"/>
      <c r="L35" s="511"/>
      <c r="M35" s="529"/>
      <c r="N35" s="530"/>
      <c r="O35" s="510"/>
      <c r="P35" s="510"/>
      <c r="Q35" s="511"/>
      <c r="R35" s="511"/>
      <c r="S35" s="517"/>
      <c r="T35" s="510"/>
      <c r="U35" s="528"/>
    </row>
    <row r="36" spans="1:21">
      <c r="A36" s="479"/>
      <c r="B36" s="4"/>
      <c r="C36" s="536"/>
      <c r="D36" s="537"/>
      <c r="E36" s="537"/>
      <c r="F36" s="537"/>
      <c r="G36" s="537"/>
      <c r="H36" s="538"/>
      <c r="I36" s="537"/>
      <c r="J36" s="539"/>
      <c r="K36" s="536"/>
      <c r="L36" s="537"/>
      <c r="M36" s="538"/>
      <c r="N36" s="540"/>
      <c r="O36" s="536"/>
      <c r="P36" s="536"/>
      <c r="Q36" s="537"/>
      <c r="R36" s="537"/>
      <c r="S36" s="541"/>
      <c r="T36" s="536"/>
      <c r="U36" s="542"/>
    </row>
    <row r="37" spans="1:21">
      <c r="A37" s="479"/>
      <c r="B37" s="4"/>
      <c r="C37" s="543"/>
      <c r="D37" s="544"/>
      <c r="E37" s="544"/>
      <c r="F37" s="544"/>
      <c r="G37" s="544"/>
      <c r="H37" s="545"/>
      <c r="I37" s="544"/>
      <c r="J37" s="546"/>
      <c r="K37" s="543"/>
      <c r="L37" s="547"/>
      <c r="M37" s="545"/>
      <c r="N37" s="548"/>
      <c r="O37" s="543"/>
      <c r="P37" s="543"/>
      <c r="Q37" s="547"/>
      <c r="R37" s="547"/>
      <c r="S37" s="549"/>
      <c r="T37" s="543"/>
      <c r="U37" s="550"/>
    </row>
    <row r="38" spans="1:21">
      <c r="A38" s="479"/>
      <c r="B38" s="480"/>
      <c r="C38" s="551"/>
      <c r="D38" s="552"/>
      <c r="E38" s="552"/>
      <c r="F38" s="552"/>
      <c r="G38" s="552"/>
      <c r="H38" s="529"/>
      <c r="I38" s="552"/>
      <c r="J38" s="531"/>
      <c r="K38" s="551"/>
      <c r="L38" s="552"/>
      <c r="M38" s="529"/>
      <c r="N38" s="530"/>
      <c r="O38" s="551"/>
      <c r="P38" s="551"/>
      <c r="Q38" s="552"/>
      <c r="R38" s="552"/>
      <c r="S38" s="553"/>
      <c r="T38" s="551"/>
      <c r="U38" s="554"/>
    </row>
    <row r="39" spans="1:21">
      <c r="A39" s="479"/>
      <c r="B39" s="4"/>
      <c r="C39" s="506"/>
      <c r="D39" s="508"/>
      <c r="E39" s="508"/>
      <c r="F39" s="508"/>
      <c r="G39" s="508"/>
      <c r="H39" s="508"/>
      <c r="I39" s="508"/>
      <c r="J39" s="509"/>
      <c r="K39" s="506"/>
      <c r="L39" s="507"/>
      <c r="M39" s="507"/>
      <c r="N39" s="507"/>
      <c r="O39" s="506"/>
      <c r="P39" s="506"/>
      <c r="Q39" s="507"/>
      <c r="R39" s="507"/>
      <c r="S39" s="515"/>
      <c r="T39" s="506"/>
      <c r="U39" s="527"/>
    </row>
    <row r="40" spans="1:21">
      <c r="A40" s="479"/>
      <c r="B40" s="4"/>
      <c r="C40" s="506"/>
      <c r="D40" s="508"/>
      <c r="E40" s="508"/>
      <c r="F40" s="508"/>
      <c r="G40" s="508"/>
      <c r="H40" s="508"/>
      <c r="I40" s="508"/>
      <c r="J40" s="509"/>
      <c r="K40" s="506"/>
      <c r="L40" s="507"/>
      <c r="M40" s="507"/>
      <c r="N40" s="507"/>
      <c r="O40" s="506"/>
      <c r="P40" s="506"/>
      <c r="Q40" s="507"/>
      <c r="R40" s="507"/>
      <c r="S40" s="515"/>
      <c r="T40" s="506"/>
      <c r="U40" s="527"/>
    </row>
    <row r="41" spans="1:21">
      <c r="A41" s="502"/>
      <c r="B41" s="481"/>
      <c r="C41" s="510"/>
      <c r="D41" s="512"/>
      <c r="E41" s="512"/>
      <c r="F41" s="512"/>
      <c r="G41" s="512"/>
      <c r="H41" s="529"/>
      <c r="I41" s="512"/>
      <c r="J41" s="514"/>
      <c r="K41" s="510"/>
      <c r="L41" s="511"/>
      <c r="M41" s="529"/>
      <c r="N41" s="530"/>
      <c r="O41" s="510"/>
      <c r="P41" s="510"/>
      <c r="Q41" s="511"/>
      <c r="R41" s="511"/>
      <c r="S41" s="517"/>
      <c r="T41" s="510"/>
      <c r="U41" s="528"/>
    </row>
    <row r="42" spans="1:21">
      <c r="A42" s="478"/>
      <c r="B42" s="3"/>
      <c r="C42" s="536"/>
      <c r="D42" s="537"/>
      <c r="E42" s="537"/>
      <c r="F42" s="537"/>
      <c r="G42" s="537"/>
      <c r="H42" s="538"/>
      <c r="I42" s="537"/>
      <c r="J42" s="539"/>
      <c r="K42" s="536"/>
      <c r="L42" s="537"/>
      <c r="M42" s="538"/>
      <c r="N42" s="540"/>
      <c r="O42" s="536"/>
      <c r="P42" s="536"/>
      <c r="Q42" s="537"/>
      <c r="R42" s="537"/>
      <c r="S42" s="541"/>
      <c r="T42" s="536"/>
      <c r="U42" s="542"/>
    </row>
    <row r="43" spans="1:21">
      <c r="A43" s="479"/>
      <c r="B43" s="4"/>
      <c r="C43" s="543"/>
      <c r="D43" s="544"/>
      <c r="E43" s="544"/>
      <c r="F43" s="544"/>
      <c r="G43" s="544"/>
      <c r="H43" s="545"/>
      <c r="I43" s="544"/>
      <c r="J43" s="546"/>
      <c r="K43" s="543"/>
      <c r="L43" s="547"/>
      <c r="M43" s="545"/>
      <c r="N43" s="548"/>
      <c r="O43" s="543"/>
      <c r="P43" s="543"/>
      <c r="Q43" s="547"/>
      <c r="R43" s="547"/>
      <c r="S43" s="549"/>
      <c r="T43" s="543"/>
      <c r="U43" s="550"/>
    </row>
    <row r="44" spans="1:21">
      <c r="A44" s="479"/>
      <c r="B44" s="505"/>
      <c r="C44" s="510"/>
      <c r="D44" s="512"/>
      <c r="E44" s="512"/>
      <c r="F44" s="512"/>
      <c r="G44" s="512"/>
      <c r="H44" s="529"/>
      <c r="I44" s="512"/>
      <c r="J44" s="514"/>
      <c r="K44" s="510"/>
      <c r="L44" s="511"/>
      <c r="M44" s="529"/>
      <c r="N44" s="530"/>
      <c r="O44" s="510"/>
      <c r="P44" s="510"/>
      <c r="Q44" s="511"/>
      <c r="R44" s="511"/>
      <c r="S44" s="517"/>
      <c r="T44" s="510"/>
      <c r="U44" s="528"/>
    </row>
    <row r="45" spans="1:21">
      <c r="A45" s="479"/>
      <c r="B45" s="4"/>
      <c r="C45" s="536"/>
      <c r="D45" s="537"/>
      <c r="E45" s="537"/>
      <c r="F45" s="537"/>
      <c r="G45" s="537"/>
      <c r="H45" s="538"/>
      <c r="I45" s="537"/>
      <c r="J45" s="539"/>
      <c r="K45" s="536"/>
      <c r="L45" s="537"/>
      <c r="M45" s="538"/>
      <c r="N45" s="540"/>
      <c r="O45" s="536"/>
      <c r="P45" s="536"/>
      <c r="Q45" s="537"/>
      <c r="R45" s="537"/>
      <c r="S45" s="541"/>
      <c r="T45" s="536"/>
      <c r="U45" s="542"/>
    </row>
    <row r="46" spans="1:21">
      <c r="A46" s="414"/>
      <c r="B46" s="4"/>
      <c r="C46" s="543"/>
      <c r="D46" s="544"/>
      <c r="E46" s="544"/>
      <c r="F46" s="544"/>
      <c r="G46" s="544"/>
      <c r="H46" s="545"/>
      <c r="I46" s="544"/>
      <c r="J46" s="546"/>
      <c r="K46" s="543"/>
      <c r="L46" s="547"/>
      <c r="M46" s="545"/>
      <c r="N46" s="548"/>
      <c r="O46" s="543"/>
      <c r="P46" s="543"/>
      <c r="Q46" s="547"/>
      <c r="R46" s="547"/>
      <c r="S46" s="549"/>
      <c r="T46" s="543"/>
      <c r="U46" s="550"/>
    </row>
    <row r="47" spans="1:21">
      <c r="A47" s="414"/>
      <c r="B47" s="480"/>
      <c r="C47" s="510"/>
      <c r="D47" s="512"/>
      <c r="E47" s="512"/>
      <c r="F47" s="512"/>
      <c r="G47" s="512"/>
      <c r="H47" s="529"/>
      <c r="I47" s="512"/>
      <c r="J47" s="514"/>
      <c r="K47" s="510"/>
      <c r="L47" s="511"/>
      <c r="M47" s="529"/>
      <c r="N47" s="530"/>
      <c r="O47" s="510"/>
      <c r="P47" s="510"/>
      <c r="Q47" s="511"/>
      <c r="R47" s="511"/>
      <c r="S47" s="517"/>
      <c r="T47" s="510"/>
      <c r="U47" s="528"/>
    </row>
    <row r="48" spans="1:21">
      <c r="A48" s="414"/>
      <c r="B48" s="4"/>
      <c r="C48" s="536"/>
      <c r="D48" s="537"/>
      <c r="E48" s="537"/>
      <c r="F48" s="537"/>
      <c r="G48" s="537"/>
      <c r="H48" s="538"/>
      <c r="I48" s="537"/>
      <c r="J48" s="539"/>
      <c r="K48" s="536"/>
      <c r="L48" s="537"/>
      <c r="M48" s="538"/>
      <c r="N48" s="540"/>
      <c r="O48" s="536"/>
      <c r="P48" s="536"/>
      <c r="Q48" s="537"/>
      <c r="R48" s="537"/>
      <c r="S48" s="541"/>
      <c r="T48" s="536"/>
      <c r="U48" s="542"/>
    </row>
    <row r="49" spans="1:21">
      <c r="A49" s="414"/>
      <c r="B49" s="4"/>
      <c r="C49" s="543"/>
      <c r="D49" s="544"/>
      <c r="E49" s="544"/>
      <c r="F49" s="544"/>
      <c r="G49" s="544"/>
      <c r="H49" s="545"/>
      <c r="I49" s="544"/>
      <c r="J49" s="546"/>
      <c r="K49" s="543"/>
      <c r="L49" s="547"/>
      <c r="M49" s="545"/>
      <c r="N49" s="548"/>
      <c r="O49" s="543"/>
      <c r="P49" s="543"/>
      <c r="Q49" s="547"/>
      <c r="R49" s="547"/>
      <c r="S49" s="549"/>
      <c r="T49" s="543"/>
      <c r="U49" s="550"/>
    </row>
    <row r="50" spans="1:21">
      <c r="A50" s="414"/>
      <c r="B50" s="480"/>
      <c r="C50" s="510"/>
      <c r="D50" s="512"/>
      <c r="E50" s="512"/>
      <c r="F50" s="512"/>
      <c r="G50" s="512"/>
      <c r="H50" s="529"/>
      <c r="I50" s="512"/>
      <c r="J50" s="514"/>
      <c r="K50" s="510"/>
      <c r="L50" s="511"/>
      <c r="M50" s="529"/>
      <c r="N50" s="530"/>
      <c r="O50" s="510"/>
      <c r="P50" s="510"/>
      <c r="Q50" s="511"/>
      <c r="R50" s="511"/>
      <c r="S50" s="517"/>
      <c r="T50" s="510"/>
      <c r="U50" s="528"/>
    </row>
    <row r="51" spans="1:21">
      <c r="A51" s="414"/>
      <c r="B51" s="4"/>
      <c r="C51" s="536"/>
      <c r="D51" s="537"/>
      <c r="E51" s="537"/>
      <c r="F51" s="537"/>
      <c r="G51" s="537"/>
      <c r="H51" s="538"/>
      <c r="I51" s="537"/>
      <c r="J51" s="539"/>
      <c r="K51" s="536"/>
      <c r="L51" s="537"/>
      <c r="M51" s="538"/>
      <c r="N51" s="540"/>
      <c r="O51" s="536"/>
      <c r="P51" s="536"/>
      <c r="Q51" s="537"/>
      <c r="R51" s="537"/>
      <c r="S51" s="541"/>
      <c r="T51" s="536"/>
      <c r="U51" s="542"/>
    </row>
    <row r="52" spans="1:21">
      <c r="A52" s="414"/>
      <c r="B52" s="4"/>
      <c r="C52" s="543"/>
      <c r="D52" s="544"/>
      <c r="E52" s="544"/>
      <c r="F52" s="544"/>
      <c r="G52" s="544"/>
      <c r="H52" s="545"/>
      <c r="I52" s="544"/>
      <c r="J52" s="546"/>
      <c r="K52" s="543"/>
      <c r="L52" s="547"/>
      <c r="M52" s="545"/>
      <c r="N52" s="548"/>
      <c r="O52" s="543"/>
      <c r="P52" s="543"/>
      <c r="Q52" s="547"/>
      <c r="R52" s="547"/>
      <c r="S52" s="549"/>
      <c r="T52" s="543"/>
      <c r="U52" s="550"/>
    </row>
    <row r="53" spans="1:21">
      <c r="A53" s="414"/>
      <c r="B53" s="480"/>
      <c r="C53" s="510"/>
      <c r="D53" s="512"/>
      <c r="E53" s="512"/>
      <c r="F53" s="512"/>
      <c r="G53" s="512"/>
      <c r="H53" s="529"/>
      <c r="I53" s="512"/>
      <c r="J53" s="514"/>
      <c r="K53" s="510"/>
      <c r="L53" s="511"/>
      <c r="M53" s="529"/>
      <c r="N53" s="530"/>
      <c r="O53" s="510"/>
      <c r="P53" s="510"/>
      <c r="Q53" s="511"/>
      <c r="R53" s="511"/>
      <c r="S53" s="517"/>
      <c r="T53" s="510"/>
      <c r="U53" s="528"/>
    </row>
    <row r="54" spans="1:21">
      <c r="A54" s="479"/>
      <c r="B54" s="4"/>
      <c r="C54" s="536"/>
      <c r="D54" s="537"/>
      <c r="E54" s="537"/>
      <c r="F54" s="537"/>
      <c r="G54" s="537"/>
      <c r="H54" s="538"/>
      <c r="I54" s="537"/>
      <c r="J54" s="539"/>
      <c r="K54" s="536"/>
      <c r="L54" s="537"/>
      <c r="M54" s="538"/>
      <c r="N54" s="540"/>
      <c r="O54" s="536"/>
      <c r="P54" s="536"/>
      <c r="Q54" s="537"/>
      <c r="R54" s="537"/>
      <c r="S54" s="541"/>
      <c r="T54" s="536"/>
      <c r="U54" s="542"/>
    </row>
    <row r="55" spans="1:21">
      <c r="A55" s="479"/>
      <c r="B55" s="4"/>
      <c r="C55" s="543"/>
      <c r="D55" s="544"/>
      <c r="E55" s="544"/>
      <c r="F55" s="544"/>
      <c r="G55" s="544"/>
      <c r="H55" s="545"/>
      <c r="I55" s="544"/>
      <c r="J55" s="546"/>
      <c r="K55" s="543"/>
      <c r="L55" s="547"/>
      <c r="M55" s="545"/>
      <c r="N55" s="548"/>
      <c r="O55" s="543"/>
      <c r="P55" s="543"/>
      <c r="Q55" s="547"/>
      <c r="R55" s="547"/>
      <c r="S55" s="549"/>
      <c r="T55" s="543"/>
      <c r="U55" s="550"/>
    </row>
    <row r="56" spans="1:21">
      <c r="A56" s="479"/>
      <c r="B56" s="480"/>
      <c r="C56" s="510"/>
      <c r="D56" s="512"/>
      <c r="E56" s="512"/>
      <c r="F56" s="512"/>
      <c r="G56" s="512"/>
      <c r="H56" s="529"/>
      <c r="I56" s="512"/>
      <c r="J56" s="514"/>
      <c r="K56" s="510"/>
      <c r="L56" s="511"/>
      <c r="M56" s="529"/>
      <c r="N56" s="530"/>
      <c r="O56" s="510"/>
      <c r="P56" s="510"/>
      <c r="Q56" s="511"/>
      <c r="R56" s="511"/>
      <c r="S56" s="517"/>
      <c r="T56" s="510"/>
      <c r="U56" s="528"/>
    </row>
    <row r="57" spans="1:21">
      <c r="A57" s="479"/>
      <c r="B57" s="4"/>
      <c r="C57" s="536"/>
      <c r="D57" s="537"/>
      <c r="E57" s="537"/>
      <c r="F57" s="537"/>
      <c r="G57" s="537"/>
      <c r="H57" s="538"/>
      <c r="I57" s="537"/>
      <c r="J57" s="539"/>
      <c r="K57" s="536"/>
      <c r="L57" s="537"/>
      <c r="M57" s="538"/>
      <c r="N57" s="540"/>
      <c r="O57" s="536"/>
      <c r="P57" s="536"/>
      <c r="Q57" s="537"/>
      <c r="R57" s="537"/>
      <c r="S57" s="541"/>
      <c r="T57" s="536"/>
      <c r="U57" s="542"/>
    </row>
    <row r="58" spans="1:21">
      <c r="A58" s="479"/>
      <c r="B58" s="4"/>
      <c r="C58" s="543"/>
      <c r="D58" s="544"/>
      <c r="E58" s="544"/>
      <c r="F58" s="544"/>
      <c r="G58" s="544"/>
      <c r="H58" s="545"/>
      <c r="I58" s="544"/>
      <c r="J58" s="546"/>
      <c r="K58" s="543"/>
      <c r="L58" s="547"/>
      <c r="M58" s="545"/>
      <c r="N58" s="548"/>
      <c r="O58" s="543"/>
      <c r="P58" s="543"/>
      <c r="Q58" s="547"/>
      <c r="R58" s="547"/>
      <c r="S58" s="549"/>
      <c r="T58" s="543"/>
      <c r="U58" s="550"/>
    </row>
    <row r="59" spans="1:21">
      <c r="A59" s="479"/>
      <c r="B59" s="480"/>
      <c r="C59" s="510"/>
      <c r="D59" s="512"/>
      <c r="E59" s="512"/>
      <c r="F59" s="512"/>
      <c r="G59" s="512"/>
      <c r="H59" s="529"/>
      <c r="I59" s="512"/>
      <c r="J59" s="514"/>
      <c r="K59" s="510"/>
      <c r="L59" s="511"/>
      <c r="M59" s="529"/>
      <c r="N59" s="530"/>
      <c r="O59" s="510"/>
      <c r="P59" s="510"/>
      <c r="Q59" s="511"/>
      <c r="R59" s="511"/>
      <c r="S59" s="517"/>
      <c r="T59" s="510"/>
      <c r="U59" s="528"/>
    </row>
    <row r="60" spans="1:21">
      <c r="A60" s="479"/>
      <c r="B60" s="4"/>
      <c r="C60" s="536"/>
      <c r="D60" s="537"/>
      <c r="E60" s="537"/>
      <c r="F60" s="537"/>
      <c r="G60" s="537"/>
      <c r="H60" s="538"/>
      <c r="I60" s="537"/>
      <c r="J60" s="539"/>
      <c r="K60" s="536"/>
      <c r="L60" s="537"/>
      <c r="M60" s="538"/>
      <c r="N60" s="540"/>
      <c r="O60" s="536"/>
      <c r="P60" s="536"/>
      <c r="Q60" s="537"/>
      <c r="R60" s="537"/>
      <c r="S60" s="541"/>
      <c r="T60" s="536"/>
      <c r="U60" s="542"/>
    </row>
    <row r="61" spans="1:21">
      <c r="A61" s="479"/>
      <c r="B61" s="4"/>
      <c r="C61" s="543"/>
      <c r="D61" s="544"/>
      <c r="E61" s="544"/>
      <c r="F61" s="544"/>
      <c r="G61" s="544"/>
      <c r="H61" s="545"/>
      <c r="I61" s="544"/>
      <c r="J61" s="546"/>
      <c r="K61" s="543"/>
      <c r="L61" s="547"/>
      <c r="M61" s="545"/>
      <c r="N61" s="548"/>
      <c r="O61" s="543"/>
      <c r="P61" s="543"/>
      <c r="Q61" s="547"/>
      <c r="R61" s="547"/>
      <c r="S61" s="549"/>
      <c r="T61" s="543"/>
      <c r="U61" s="550"/>
    </row>
    <row r="62" spans="1:21">
      <c r="A62" s="479"/>
      <c r="B62" s="480"/>
      <c r="C62" s="510"/>
      <c r="D62" s="512"/>
      <c r="E62" s="512"/>
      <c r="F62" s="512"/>
      <c r="G62" s="512"/>
      <c r="H62" s="529"/>
      <c r="I62" s="512"/>
      <c r="J62" s="514"/>
      <c r="K62" s="510"/>
      <c r="L62" s="511"/>
      <c r="M62" s="529"/>
      <c r="N62" s="530"/>
      <c r="O62" s="510"/>
      <c r="P62" s="510"/>
      <c r="Q62" s="511"/>
      <c r="R62" s="511"/>
      <c r="S62" s="517"/>
      <c r="T62" s="510"/>
      <c r="U62" s="528"/>
    </row>
    <row r="63" spans="1:21">
      <c r="A63" s="479"/>
      <c r="B63" s="4"/>
      <c r="C63" s="536"/>
      <c r="D63" s="537"/>
      <c r="E63" s="537"/>
      <c r="F63" s="537"/>
      <c r="G63" s="537"/>
      <c r="H63" s="538"/>
      <c r="I63" s="537"/>
      <c r="J63" s="539"/>
      <c r="K63" s="536"/>
      <c r="L63" s="537"/>
      <c r="M63" s="538"/>
      <c r="N63" s="540"/>
      <c r="O63" s="536"/>
      <c r="P63" s="536"/>
      <c r="Q63" s="537"/>
      <c r="R63" s="537"/>
      <c r="S63" s="541"/>
      <c r="T63" s="536"/>
      <c r="U63" s="542"/>
    </row>
    <row r="64" spans="1:21">
      <c r="A64" s="479"/>
      <c r="B64" s="4"/>
      <c r="C64" s="543"/>
      <c r="D64" s="544"/>
      <c r="E64" s="544"/>
      <c r="F64" s="544"/>
      <c r="G64" s="544"/>
      <c r="H64" s="545"/>
      <c r="I64" s="544"/>
      <c r="J64" s="546"/>
      <c r="K64" s="543"/>
      <c r="L64" s="547"/>
      <c r="M64" s="545"/>
      <c r="N64" s="548"/>
      <c r="O64" s="543"/>
      <c r="P64" s="543"/>
      <c r="Q64" s="547"/>
      <c r="R64" s="547"/>
      <c r="S64" s="549"/>
      <c r="T64" s="543"/>
      <c r="U64" s="550"/>
    </row>
    <row r="65" spans="1:21">
      <c r="A65" s="479"/>
      <c r="B65" s="480"/>
      <c r="C65" s="510"/>
      <c r="D65" s="512"/>
      <c r="E65" s="512"/>
      <c r="F65" s="512"/>
      <c r="G65" s="512"/>
      <c r="H65" s="529"/>
      <c r="I65" s="512"/>
      <c r="J65" s="514"/>
      <c r="K65" s="510"/>
      <c r="L65" s="511"/>
      <c r="M65" s="529"/>
      <c r="N65" s="530"/>
      <c r="O65" s="510"/>
      <c r="P65" s="510"/>
      <c r="Q65" s="511"/>
      <c r="R65" s="511"/>
      <c r="S65" s="517"/>
      <c r="T65" s="510"/>
      <c r="U65" s="528"/>
    </row>
    <row r="66" spans="1:21">
      <c r="A66" s="479"/>
      <c r="B66" s="4"/>
      <c r="C66" s="536"/>
      <c r="D66" s="537"/>
      <c r="E66" s="537"/>
      <c r="F66" s="537"/>
      <c r="G66" s="537"/>
      <c r="H66" s="538"/>
      <c r="I66" s="537"/>
      <c r="J66" s="539"/>
      <c r="K66" s="536"/>
      <c r="L66" s="537"/>
      <c r="M66" s="538"/>
      <c r="N66" s="540"/>
      <c r="O66" s="536"/>
      <c r="P66" s="536"/>
      <c r="Q66" s="537"/>
      <c r="R66" s="537"/>
      <c r="S66" s="541"/>
      <c r="T66" s="536"/>
      <c r="U66" s="542"/>
    </row>
    <row r="67" spans="1:21">
      <c r="A67" s="479"/>
      <c r="B67" s="4"/>
      <c r="C67" s="543"/>
      <c r="D67" s="544"/>
      <c r="E67" s="544"/>
      <c r="F67" s="544"/>
      <c r="G67" s="544"/>
      <c r="H67" s="545"/>
      <c r="I67" s="544"/>
      <c r="J67" s="546"/>
      <c r="K67" s="543"/>
      <c r="L67" s="547"/>
      <c r="M67" s="545"/>
      <c r="N67" s="548"/>
      <c r="O67" s="543"/>
      <c r="P67" s="543"/>
      <c r="Q67" s="547"/>
      <c r="R67" s="547"/>
      <c r="S67" s="549"/>
      <c r="T67" s="543"/>
      <c r="U67" s="550"/>
    </row>
    <row r="68" spans="1:21">
      <c r="A68" s="479"/>
      <c r="B68" s="480"/>
      <c r="C68" s="510"/>
      <c r="D68" s="512"/>
      <c r="E68" s="512"/>
      <c r="F68" s="512"/>
      <c r="G68" s="512"/>
      <c r="H68" s="529"/>
      <c r="I68" s="512"/>
      <c r="J68" s="514"/>
      <c r="K68" s="510"/>
      <c r="L68" s="511"/>
      <c r="M68" s="529"/>
      <c r="N68" s="530"/>
      <c r="O68" s="510"/>
      <c r="P68" s="510"/>
      <c r="Q68" s="511"/>
      <c r="R68" s="511"/>
      <c r="S68" s="517"/>
      <c r="T68" s="510"/>
      <c r="U68" s="528"/>
    </row>
    <row r="69" spans="1:21">
      <c r="A69" s="479"/>
      <c r="B69" s="4"/>
      <c r="C69" s="536"/>
      <c r="D69" s="537"/>
      <c r="E69" s="537"/>
      <c r="F69" s="537"/>
      <c r="G69" s="537"/>
      <c r="H69" s="538"/>
      <c r="I69" s="537"/>
      <c r="J69" s="539"/>
      <c r="K69" s="536"/>
      <c r="L69" s="537"/>
      <c r="M69" s="538"/>
      <c r="N69" s="540"/>
      <c r="O69" s="536"/>
      <c r="P69" s="536"/>
      <c r="Q69" s="537"/>
      <c r="R69" s="537"/>
      <c r="S69" s="541"/>
      <c r="T69" s="536"/>
      <c r="U69" s="542"/>
    </row>
    <row r="70" spans="1:21">
      <c r="A70" s="479"/>
      <c r="B70" s="4"/>
      <c r="C70" s="543"/>
      <c r="D70" s="544"/>
      <c r="E70" s="544"/>
      <c r="F70" s="544"/>
      <c r="G70" s="544"/>
      <c r="H70" s="545"/>
      <c r="I70" s="544"/>
      <c r="J70" s="546"/>
      <c r="K70" s="543"/>
      <c r="L70" s="547"/>
      <c r="M70" s="545"/>
      <c r="N70" s="548"/>
      <c r="O70" s="543"/>
      <c r="P70" s="543"/>
      <c r="Q70" s="547"/>
      <c r="R70" s="547"/>
      <c r="S70" s="549"/>
      <c r="T70" s="543"/>
      <c r="U70" s="550"/>
    </row>
    <row r="71" spans="1:21">
      <c r="A71" s="479"/>
      <c r="B71" s="480"/>
      <c r="C71" s="510"/>
      <c r="D71" s="512"/>
      <c r="E71" s="512"/>
      <c r="F71" s="512"/>
      <c r="G71" s="512"/>
      <c r="H71" s="529"/>
      <c r="I71" s="512"/>
      <c r="J71" s="514"/>
      <c r="K71" s="510"/>
      <c r="L71" s="511"/>
      <c r="M71" s="529"/>
      <c r="N71" s="530"/>
      <c r="O71" s="510"/>
      <c r="P71" s="510"/>
      <c r="Q71" s="511"/>
      <c r="R71" s="511"/>
      <c r="S71" s="517"/>
      <c r="T71" s="510"/>
      <c r="U71" s="528"/>
    </row>
    <row r="72" spans="1:21">
      <c r="A72" s="479"/>
      <c r="B72" s="4"/>
      <c r="C72" s="536"/>
      <c r="D72" s="537"/>
      <c r="E72" s="537"/>
      <c r="F72" s="537"/>
      <c r="G72" s="537"/>
      <c r="H72" s="538"/>
      <c r="I72" s="537"/>
      <c r="J72" s="539"/>
      <c r="K72" s="536"/>
      <c r="L72" s="537"/>
      <c r="M72" s="538"/>
      <c r="N72" s="540"/>
      <c r="O72" s="536"/>
      <c r="P72" s="536"/>
      <c r="Q72" s="537"/>
      <c r="R72" s="537"/>
      <c r="S72" s="541"/>
      <c r="T72" s="536"/>
      <c r="U72" s="542"/>
    </row>
    <row r="73" spans="1:21">
      <c r="A73" s="479"/>
      <c r="B73" s="4"/>
      <c r="C73" s="543"/>
      <c r="D73" s="544"/>
      <c r="E73" s="544"/>
      <c r="F73" s="544"/>
      <c r="G73" s="544"/>
      <c r="H73" s="545"/>
      <c r="I73" s="544"/>
      <c r="J73" s="546"/>
      <c r="K73" s="543"/>
      <c r="L73" s="547"/>
      <c r="M73" s="545"/>
      <c r="N73" s="548"/>
      <c r="O73" s="543"/>
      <c r="P73" s="543"/>
      <c r="Q73" s="547"/>
      <c r="R73" s="547"/>
      <c r="S73" s="549"/>
      <c r="T73" s="543"/>
      <c r="U73" s="550"/>
    </row>
    <row r="74" spans="1:21">
      <c r="A74" s="479"/>
      <c r="B74" s="480"/>
      <c r="C74" s="551"/>
      <c r="D74" s="552"/>
      <c r="E74" s="552"/>
      <c r="F74" s="552"/>
      <c r="G74" s="552"/>
      <c r="H74" s="529"/>
      <c r="I74" s="552"/>
      <c r="J74" s="531"/>
      <c r="K74" s="551"/>
      <c r="L74" s="552"/>
      <c r="M74" s="529"/>
      <c r="N74" s="530"/>
      <c r="O74" s="551"/>
      <c r="P74" s="551"/>
      <c r="Q74" s="552"/>
      <c r="R74" s="552"/>
      <c r="S74" s="553"/>
      <c r="T74" s="551"/>
      <c r="U74" s="554"/>
    </row>
    <row r="75" spans="1:21">
      <c r="A75" s="479"/>
      <c r="B75" s="4"/>
      <c r="C75" s="506"/>
      <c r="D75" s="508"/>
      <c r="E75" s="508"/>
      <c r="F75" s="508"/>
      <c r="G75" s="508"/>
      <c r="H75" s="508"/>
      <c r="I75" s="508"/>
      <c r="J75" s="509"/>
      <c r="K75" s="506"/>
      <c r="L75" s="507"/>
      <c r="M75" s="507"/>
      <c r="N75" s="507"/>
      <c r="O75" s="506"/>
      <c r="P75" s="506"/>
      <c r="Q75" s="507"/>
      <c r="R75" s="507"/>
      <c r="S75" s="515"/>
      <c r="T75" s="506"/>
      <c r="U75" s="527"/>
    </row>
    <row r="76" spans="1:21">
      <c r="A76" s="479"/>
      <c r="B76" s="4"/>
      <c r="C76" s="506"/>
      <c r="D76" s="508"/>
      <c r="E76" s="508"/>
      <c r="F76" s="508"/>
      <c r="G76" s="508"/>
      <c r="H76" s="508"/>
      <c r="I76" s="508"/>
      <c r="J76" s="509"/>
      <c r="K76" s="506"/>
      <c r="L76" s="507"/>
      <c r="M76" s="507"/>
      <c r="N76" s="507"/>
      <c r="O76" s="506"/>
      <c r="P76" s="506"/>
      <c r="Q76" s="507"/>
      <c r="R76" s="507"/>
      <c r="S76" s="515"/>
      <c r="T76" s="506"/>
      <c r="U76" s="527"/>
    </row>
    <row r="77" spans="1:21">
      <c r="A77" s="502"/>
      <c r="B77" s="481"/>
      <c r="C77" s="510"/>
      <c r="D77" s="512"/>
      <c r="E77" s="512"/>
      <c r="F77" s="512"/>
      <c r="G77" s="512"/>
      <c r="H77" s="529"/>
      <c r="I77" s="512"/>
      <c r="J77" s="514"/>
      <c r="K77" s="510"/>
      <c r="L77" s="511"/>
      <c r="M77" s="529"/>
      <c r="N77" s="530"/>
      <c r="O77" s="510"/>
      <c r="P77" s="510"/>
      <c r="Q77" s="511"/>
      <c r="R77" s="511"/>
      <c r="S77" s="517"/>
      <c r="T77" s="510"/>
      <c r="U77" s="528"/>
    </row>
    <row r="78" spans="1:21">
      <c r="A78" s="478"/>
      <c r="B78" s="3"/>
      <c r="C78" s="536"/>
      <c r="D78" s="537"/>
      <c r="E78" s="537"/>
      <c r="F78" s="537"/>
      <c r="G78" s="537"/>
      <c r="H78" s="538"/>
      <c r="I78" s="537"/>
      <c r="J78" s="539"/>
      <c r="K78" s="536"/>
      <c r="L78" s="537"/>
      <c r="M78" s="538"/>
      <c r="N78" s="540"/>
      <c r="O78" s="536"/>
      <c r="P78" s="536"/>
      <c r="Q78" s="537"/>
      <c r="R78" s="537"/>
      <c r="S78" s="541"/>
      <c r="T78" s="536"/>
      <c r="U78" s="542"/>
    </row>
    <row r="79" spans="1:21">
      <c r="A79" s="479"/>
      <c r="B79" s="4"/>
      <c r="C79" s="543"/>
      <c r="D79" s="544"/>
      <c r="E79" s="544"/>
      <c r="F79" s="544"/>
      <c r="G79" s="544"/>
      <c r="H79" s="545"/>
      <c r="I79" s="544"/>
      <c r="J79" s="546"/>
      <c r="K79" s="543"/>
      <c r="L79" s="547"/>
      <c r="M79" s="545"/>
      <c r="N79" s="548"/>
      <c r="O79" s="543"/>
      <c r="P79" s="543"/>
      <c r="Q79" s="547"/>
      <c r="R79" s="547"/>
      <c r="S79" s="549"/>
      <c r="T79" s="543"/>
      <c r="U79" s="550"/>
    </row>
    <row r="80" spans="1:21">
      <c r="A80" s="479"/>
      <c r="B80" s="505"/>
      <c r="C80" s="510"/>
      <c r="D80" s="512"/>
      <c r="E80" s="512"/>
      <c r="F80" s="512"/>
      <c r="G80" s="512"/>
      <c r="H80" s="529"/>
      <c r="I80" s="512"/>
      <c r="J80" s="514"/>
      <c r="K80" s="510"/>
      <c r="L80" s="511"/>
      <c r="M80" s="529"/>
      <c r="N80" s="530"/>
      <c r="O80" s="510"/>
      <c r="P80" s="510"/>
      <c r="Q80" s="511"/>
      <c r="R80" s="511"/>
      <c r="S80" s="517"/>
      <c r="T80" s="510"/>
      <c r="U80" s="528"/>
    </row>
    <row r="81" spans="1:21">
      <c r="A81" s="479"/>
      <c r="B81" s="4"/>
      <c r="C81" s="536"/>
      <c r="D81" s="537"/>
      <c r="E81" s="537"/>
      <c r="F81" s="537"/>
      <c r="G81" s="537"/>
      <c r="H81" s="538"/>
      <c r="I81" s="537"/>
      <c r="J81" s="539"/>
      <c r="K81" s="536"/>
      <c r="L81" s="537"/>
      <c r="M81" s="538"/>
      <c r="N81" s="540"/>
      <c r="O81" s="536"/>
      <c r="P81" s="536"/>
      <c r="Q81" s="537"/>
      <c r="R81" s="537"/>
      <c r="S81" s="541"/>
      <c r="T81" s="536"/>
      <c r="U81" s="542"/>
    </row>
    <row r="82" spans="1:21">
      <c r="A82" s="414"/>
      <c r="B82" s="4"/>
      <c r="C82" s="543"/>
      <c r="D82" s="544"/>
      <c r="E82" s="544"/>
      <c r="F82" s="544"/>
      <c r="G82" s="544"/>
      <c r="H82" s="545"/>
      <c r="I82" s="544"/>
      <c r="J82" s="546"/>
      <c r="K82" s="543"/>
      <c r="L82" s="547"/>
      <c r="M82" s="545"/>
      <c r="N82" s="548"/>
      <c r="O82" s="543"/>
      <c r="P82" s="543"/>
      <c r="Q82" s="547"/>
      <c r="R82" s="547"/>
      <c r="S82" s="549"/>
      <c r="T82" s="543"/>
      <c r="U82" s="550"/>
    </row>
    <row r="83" spans="1:21">
      <c r="A83" s="414"/>
      <c r="B83" s="480"/>
      <c r="C83" s="510"/>
      <c r="D83" s="512"/>
      <c r="E83" s="512"/>
      <c r="F83" s="512"/>
      <c r="G83" s="512"/>
      <c r="H83" s="529"/>
      <c r="I83" s="512"/>
      <c r="J83" s="514"/>
      <c r="K83" s="510"/>
      <c r="L83" s="511"/>
      <c r="M83" s="529"/>
      <c r="N83" s="530"/>
      <c r="O83" s="510"/>
      <c r="P83" s="510"/>
      <c r="Q83" s="511"/>
      <c r="R83" s="511"/>
      <c r="S83" s="517"/>
      <c r="T83" s="510"/>
      <c r="U83" s="528"/>
    </row>
    <row r="84" spans="1:21">
      <c r="A84" s="414"/>
      <c r="B84" s="4"/>
      <c r="C84" s="536"/>
      <c r="D84" s="537"/>
      <c r="E84" s="537"/>
      <c r="F84" s="537"/>
      <c r="G84" s="537"/>
      <c r="H84" s="538"/>
      <c r="I84" s="537"/>
      <c r="J84" s="539"/>
      <c r="K84" s="536"/>
      <c r="L84" s="537"/>
      <c r="M84" s="538"/>
      <c r="N84" s="540"/>
      <c r="O84" s="536"/>
      <c r="P84" s="536"/>
      <c r="Q84" s="537"/>
      <c r="R84" s="537"/>
      <c r="S84" s="541"/>
      <c r="T84" s="536"/>
      <c r="U84" s="542"/>
    </row>
    <row r="85" spans="1:21">
      <c r="A85" s="414"/>
      <c r="B85" s="4"/>
      <c r="C85" s="543"/>
      <c r="D85" s="544"/>
      <c r="E85" s="544"/>
      <c r="F85" s="544"/>
      <c r="G85" s="544"/>
      <c r="H85" s="545"/>
      <c r="I85" s="544"/>
      <c r="J85" s="546"/>
      <c r="K85" s="543"/>
      <c r="L85" s="547"/>
      <c r="M85" s="545"/>
      <c r="N85" s="548"/>
      <c r="O85" s="543"/>
      <c r="P85" s="543"/>
      <c r="Q85" s="547"/>
      <c r="R85" s="547"/>
      <c r="S85" s="549"/>
      <c r="T85" s="543"/>
      <c r="U85" s="550"/>
    </row>
    <row r="86" spans="1:21">
      <c r="A86" s="414"/>
      <c r="B86" s="480"/>
      <c r="C86" s="510"/>
      <c r="D86" s="512"/>
      <c r="E86" s="512"/>
      <c r="F86" s="512"/>
      <c r="G86" s="512"/>
      <c r="H86" s="529"/>
      <c r="I86" s="512"/>
      <c r="J86" s="514"/>
      <c r="K86" s="510"/>
      <c r="L86" s="511"/>
      <c r="M86" s="529"/>
      <c r="N86" s="530"/>
      <c r="O86" s="510"/>
      <c r="P86" s="510"/>
      <c r="Q86" s="511"/>
      <c r="R86" s="511"/>
      <c r="S86" s="517"/>
      <c r="T86" s="510"/>
      <c r="U86" s="528"/>
    </row>
    <row r="87" spans="1:21">
      <c r="A87" s="414"/>
      <c r="B87" s="4"/>
      <c r="C87" s="536"/>
      <c r="D87" s="537"/>
      <c r="E87" s="537"/>
      <c r="F87" s="537"/>
      <c r="G87" s="537"/>
      <c r="H87" s="538"/>
      <c r="I87" s="537"/>
      <c r="J87" s="539"/>
      <c r="K87" s="536"/>
      <c r="L87" s="537"/>
      <c r="M87" s="538"/>
      <c r="N87" s="540"/>
      <c r="O87" s="536"/>
      <c r="P87" s="536"/>
      <c r="Q87" s="537"/>
      <c r="R87" s="537"/>
      <c r="S87" s="541"/>
      <c r="T87" s="536"/>
      <c r="U87" s="542"/>
    </row>
    <row r="88" spans="1:21">
      <c r="A88" s="414"/>
      <c r="B88" s="4"/>
      <c r="C88" s="543"/>
      <c r="D88" s="544"/>
      <c r="E88" s="544"/>
      <c r="F88" s="544"/>
      <c r="G88" s="544"/>
      <c r="H88" s="545"/>
      <c r="I88" s="544"/>
      <c r="J88" s="546"/>
      <c r="K88" s="543"/>
      <c r="L88" s="547"/>
      <c r="M88" s="545"/>
      <c r="N88" s="548"/>
      <c r="O88" s="543"/>
      <c r="P88" s="543"/>
      <c r="Q88" s="547"/>
      <c r="R88" s="547"/>
      <c r="S88" s="549"/>
      <c r="T88" s="543"/>
      <c r="U88" s="550"/>
    </row>
    <row r="89" spans="1:21">
      <c r="A89" s="414"/>
      <c r="B89" s="480"/>
      <c r="C89" s="510"/>
      <c r="D89" s="512"/>
      <c r="E89" s="512"/>
      <c r="F89" s="512"/>
      <c r="G89" s="512"/>
      <c r="H89" s="529"/>
      <c r="I89" s="512"/>
      <c r="J89" s="514"/>
      <c r="K89" s="510"/>
      <c r="L89" s="511"/>
      <c r="M89" s="529"/>
      <c r="N89" s="530"/>
      <c r="O89" s="510"/>
      <c r="P89" s="510"/>
      <c r="Q89" s="511"/>
      <c r="R89" s="511"/>
      <c r="S89" s="517"/>
      <c r="T89" s="510"/>
      <c r="U89" s="528"/>
    </row>
    <row r="90" spans="1:21">
      <c r="A90" s="479"/>
      <c r="B90" s="4"/>
      <c r="C90" s="536"/>
      <c r="D90" s="537"/>
      <c r="E90" s="537"/>
      <c r="F90" s="537"/>
      <c r="G90" s="537"/>
      <c r="H90" s="538"/>
      <c r="I90" s="537"/>
      <c r="J90" s="539"/>
      <c r="K90" s="536"/>
      <c r="L90" s="537"/>
      <c r="M90" s="538"/>
      <c r="N90" s="540"/>
      <c r="O90" s="536"/>
      <c r="P90" s="536"/>
      <c r="Q90" s="537"/>
      <c r="R90" s="537"/>
      <c r="S90" s="541"/>
      <c r="T90" s="536"/>
      <c r="U90" s="542"/>
    </row>
    <row r="91" spans="1:21">
      <c r="A91" s="479"/>
      <c r="B91" s="4"/>
      <c r="C91" s="543"/>
      <c r="D91" s="544"/>
      <c r="E91" s="544"/>
      <c r="F91" s="544"/>
      <c r="G91" s="544"/>
      <c r="H91" s="545"/>
      <c r="I91" s="544"/>
      <c r="J91" s="546"/>
      <c r="K91" s="543"/>
      <c r="L91" s="547"/>
      <c r="M91" s="545"/>
      <c r="N91" s="548"/>
      <c r="O91" s="543"/>
      <c r="P91" s="543"/>
      <c r="Q91" s="547"/>
      <c r="R91" s="547"/>
      <c r="S91" s="549"/>
      <c r="T91" s="543"/>
      <c r="U91" s="550"/>
    </row>
    <row r="92" spans="1:21">
      <c r="A92" s="479"/>
      <c r="B92" s="480"/>
      <c r="C92" s="510"/>
      <c r="D92" s="512"/>
      <c r="E92" s="512"/>
      <c r="F92" s="512"/>
      <c r="G92" s="512"/>
      <c r="H92" s="529"/>
      <c r="I92" s="512"/>
      <c r="J92" s="514"/>
      <c r="K92" s="510"/>
      <c r="L92" s="511"/>
      <c r="M92" s="529"/>
      <c r="N92" s="530"/>
      <c r="O92" s="510"/>
      <c r="P92" s="510"/>
      <c r="Q92" s="511"/>
      <c r="R92" s="511"/>
      <c r="S92" s="517"/>
      <c r="T92" s="510"/>
      <c r="U92" s="528"/>
    </row>
    <row r="93" spans="1:21">
      <c r="A93" s="479"/>
      <c r="B93" s="4"/>
      <c r="C93" s="536"/>
      <c r="D93" s="537"/>
      <c r="E93" s="537"/>
      <c r="F93" s="537"/>
      <c r="G93" s="537"/>
      <c r="H93" s="538"/>
      <c r="I93" s="537"/>
      <c r="J93" s="539"/>
      <c r="K93" s="536"/>
      <c r="L93" s="537"/>
      <c r="M93" s="538"/>
      <c r="N93" s="540"/>
      <c r="O93" s="536"/>
      <c r="P93" s="536"/>
      <c r="Q93" s="537"/>
      <c r="R93" s="537"/>
      <c r="S93" s="541"/>
      <c r="T93" s="536"/>
      <c r="U93" s="542"/>
    </row>
    <row r="94" spans="1:21">
      <c r="A94" s="479"/>
      <c r="B94" s="4"/>
      <c r="C94" s="543"/>
      <c r="D94" s="544"/>
      <c r="E94" s="544"/>
      <c r="F94" s="544"/>
      <c r="G94" s="544"/>
      <c r="H94" s="545"/>
      <c r="I94" s="544"/>
      <c r="J94" s="546"/>
      <c r="K94" s="543"/>
      <c r="L94" s="547"/>
      <c r="M94" s="545"/>
      <c r="N94" s="548"/>
      <c r="O94" s="543"/>
      <c r="P94" s="543"/>
      <c r="Q94" s="547"/>
      <c r="R94" s="547"/>
      <c r="S94" s="549"/>
      <c r="T94" s="543"/>
      <c r="U94" s="550"/>
    </row>
    <row r="95" spans="1:21">
      <c r="A95" s="479"/>
      <c r="B95" s="480"/>
      <c r="C95" s="510"/>
      <c r="D95" s="512"/>
      <c r="E95" s="512"/>
      <c r="F95" s="512"/>
      <c r="G95" s="512"/>
      <c r="H95" s="529"/>
      <c r="I95" s="512"/>
      <c r="J95" s="514"/>
      <c r="K95" s="510"/>
      <c r="L95" s="511"/>
      <c r="M95" s="529"/>
      <c r="N95" s="530"/>
      <c r="O95" s="510"/>
      <c r="P95" s="510"/>
      <c r="Q95" s="511"/>
      <c r="R95" s="511"/>
      <c r="S95" s="517"/>
      <c r="T95" s="510"/>
      <c r="U95" s="528"/>
    </row>
    <row r="96" spans="1:21">
      <c r="A96" s="479"/>
      <c r="B96" s="4"/>
      <c r="C96" s="536"/>
      <c r="D96" s="537"/>
      <c r="E96" s="537"/>
      <c r="F96" s="537"/>
      <c r="G96" s="537"/>
      <c r="H96" s="538"/>
      <c r="I96" s="537"/>
      <c r="J96" s="539"/>
      <c r="K96" s="536"/>
      <c r="L96" s="537"/>
      <c r="M96" s="538"/>
      <c r="N96" s="540"/>
      <c r="O96" s="536"/>
      <c r="P96" s="536"/>
      <c r="Q96" s="537"/>
      <c r="R96" s="537"/>
      <c r="S96" s="541"/>
      <c r="T96" s="536"/>
      <c r="U96" s="542"/>
    </row>
    <row r="97" spans="1:21">
      <c r="A97" s="479"/>
      <c r="B97" s="4"/>
      <c r="C97" s="543"/>
      <c r="D97" s="544"/>
      <c r="E97" s="544"/>
      <c r="F97" s="544"/>
      <c r="G97" s="544"/>
      <c r="H97" s="545"/>
      <c r="I97" s="544"/>
      <c r="J97" s="546"/>
      <c r="K97" s="543"/>
      <c r="L97" s="547"/>
      <c r="M97" s="545"/>
      <c r="N97" s="548"/>
      <c r="O97" s="543"/>
      <c r="P97" s="543"/>
      <c r="Q97" s="547"/>
      <c r="R97" s="547"/>
      <c r="S97" s="549"/>
      <c r="T97" s="543"/>
      <c r="U97" s="550"/>
    </row>
    <row r="98" spans="1:21">
      <c r="A98" s="479"/>
      <c r="B98" s="480"/>
      <c r="C98" s="510"/>
      <c r="D98" s="512"/>
      <c r="E98" s="512"/>
      <c r="F98" s="512"/>
      <c r="G98" s="512"/>
      <c r="H98" s="529"/>
      <c r="I98" s="512"/>
      <c r="J98" s="514"/>
      <c r="K98" s="510"/>
      <c r="L98" s="511"/>
      <c r="M98" s="529"/>
      <c r="N98" s="530"/>
      <c r="O98" s="510"/>
      <c r="P98" s="510"/>
      <c r="Q98" s="511"/>
      <c r="R98" s="511"/>
      <c r="S98" s="517"/>
      <c r="T98" s="510"/>
      <c r="U98" s="528"/>
    </row>
    <row r="99" spans="1:21">
      <c r="A99" s="479"/>
      <c r="B99" s="4"/>
      <c r="C99" s="536"/>
      <c r="D99" s="537"/>
      <c r="E99" s="537"/>
      <c r="F99" s="537"/>
      <c r="G99" s="537"/>
      <c r="H99" s="538"/>
      <c r="I99" s="537"/>
      <c r="J99" s="539"/>
      <c r="K99" s="536"/>
      <c r="L99" s="537"/>
      <c r="M99" s="538"/>
      <c r="N99" s="540"/>
      <c r="O99" s="536"/>
      <c r="P99" s="536"/>
      <c r="Q99" s="537"/>
      <c r="R99" s="537"/>
      <c r="S99" s="541"/>
      <c r="T99" s="536"/>
      <c r="U99" s="542"/>
    </row>
    <row r="100" spans="1:21">
      <c r="A100" s="479"/>
      <c r="B100" s="4"/>
      <c r="C100" s="543"/>
      <c r="D100" s="544"/>
      <c r="E100" s="544"/>
      <c r="F100" s="544"/>
      <c r="G100" s="544"/>
      <c r="H100" s="545"/>
      <c r="I100" s="544"/>
      <c r="J100" s="546"/>
      <c r="K100" s="543"/>
      <c r="L100" s="547"/>
      <c r="M100" s="545"/>
      <c r="N100" s="548"/>
      <c r="O100" s="543"/>
      <c r="P100" s="543"/>
      <c r="Q100" s="547"/>
      <c r="R100" s="547"/>
      <c r="S100" s="549"/>
      <c r="T100" s="543"/>
      <c r="U100" s="550"/>
    </row>
    <row r="101" spans="1:21">
      <c r="A101" s="479"/>
      <c r="B101" s="480"/>
      <c r="C101" s="510"/>
      <c r="D101" s="512"/>
      <c r="E101" s="512"/>
      <c r="F101" s="512"/>
      <c r="G101" s="512"/>
      <c r="H101" s="529"/>
      <c r="I101" s="512"/>
      <c r="J101" s="514"/>
      <c r="K101" s="510"/>
      <c r="L101" s="511"/>
      <c r="M101" s="529"/>
      <c r="N101" s="530"/>
      <c r="O101" s="510"/>
      <c r="P101" s="510"/>
      <c r="Q101" s="511"/>
      <c r="R101" s="511"/>
      <c r="S101" s="517"/>
      <c r="T101" s="510"/>
      <c r="U101" s="528"/>
    </row>
    <row r="102" spans="1:21">
      <c r="A102" s="479"/>
      <c r="B102" s="4"/>
      <c r="C102" s="536"/>
      <c r="D102" s="537"/>
      <c r="E102" s="537"/>
      <c r="F102" s="537"/>
      <c r="G102" s="537"/>
      <c r="H102" s="538"/>
      <c r="I102" s="537"/>
      <c r="J102" s="539"/>
      <c r="K102" s="536"/>
      <c r="L102" s="537"/>
      <c r="M102" s="538"/>
      <c r="N102" s="540"/>
      <c r="O102" s="536"/>
      <c r="P102" s="536"/>
      <c r="Q102" s="537"/>
      <c r="R102" s="537"/>
      <c r="S102" s="541"/>
      <c r="T102" s="536"/>
      <c r="U102" s="542"/>
    </row>
    <row r="103" spans="1:21">
      <c r="A103" s="479"/>
      <c r="B103" s="4"/>
      <c r="C103" s="543"/>
      <c r="D103" s="544"/>
      <c r="E103" s="544"/>
      <c r="F103" s="544"/>
      <c r="G103" s="544"/>
      <c r="H103" s="545"/>
      <c r="I103" s="544"/>
      <c r="J103" s="546"/>
      <c r="K103" s="543"/>
      <c r="L103" s="547"/>
      <c r="M103" s="545"/>
      <c r="N103" s="548"/>
      <c r="O103" s="543"/>
      <c r="P103" s="543"/>
      <c r="Q103" s="547"/>
      <c r="R103" s="547"/>
      <c r="S103" s="549"/>
      <c r="T103" s="543"/>
      <c r="U103" s="550"/>
    </row>
    <row r="104" spans="1:21">
      <c r="A104" s="479"/>
      <c r="B104" s="480"/>
      <c r="C104" s="510"/>
      <c r="D104" s="512"/>
      <c r="E104" s="512"/>
      <c r="F104" s="512"/>
      <c r="G104" s="512"/>
      <c r="H104" s="529"/>
      <c r="I104" s="512"/>
      <c r="J104" s="514"/>
      <c r="K104" s="510"/>
      <c r="L104" s="511"/>
      <c r="M104" s="529"/>
      <c r="N104" s="530"/>
      <c r="O104" s="510"/>
      <c r="P104" s="510"/>
      <c r="Q104" s="511"/>
      <c r="R104" s="511"/>
      <c r="S104" s="517"/>
      <c r="T104" s="510"/>
      <c r="U104" s="528"/>
    </row>
    <row r="105" spans="1:21">
      <c r="A105" s="479"/>
      <c r="B105" s="4"/>
      <c r="C105" s="536"/>
      <c r="D105" s="537"/>
      <c r="E105" s="537"/>
      <c r="F105" s="537"/>
      <c r="G105" s="537"/>
      <c r="H105" s="538"/>
      <c r="I105" s="537"/>
      <c r="J105" s="539"/>
      <c r="K105" s="536"/>
      <c r="L105" s="537"/>
      <c r="M105" s="538"/>
      <c r="N105" s="540"/>
      <c r="O105" s="536"/>
      <c r="P105" s="536"/>
      <c r="Q105" s="537"/>
      <c r="R105" s="537"/>
      <c r="S105" s="541"/>
      <c r="T105" s="536"/>
      <c r="U105" s="542"/>
    </row>
    <row r="106" spans="1:21">
      <c r="A106" s="479"/>
      <c r="B106" s="4"/>
      <c r="C106" s="543"/>
      <c r="D106" s="544"/>
      <c r="E106" s="544"/>
      <c r="F106" s="544"/>
      <c r="G106" s="544"/>
      <c r="H106" s="545"/>
      <c r="I106" s="544"/>
      <c r="J106" s="546"/>
      <c r="K106" s="543"/>
      <c r="L106" s="547"/>
      <c r="M106" s="545"/>
      <c r="N106" s="548"/>
      <c r="O106" s="543"/>
      <c r="P106" s="543"/>
      <c r="Q106" s="547"/>
      <c r="R106" s="547"/>
      <c r="S106" s="549"/>
      <c r="T106" s="543"/>
      <c r="U106" s="550"/>
    </row>
    <row r="107" spans="1:21">
      <c r="A107" s="479"/>
      <c r="B107" s="480"/>
      <c r="C107" s="510"/>
      <c r="D107" s="512"/>
      <c r="E107" s="512"/>
      <c r="F107" s="512"/>
      <c r="G107" s="512"/>
      <c r="H107" s="529"/>
      <c r="I107" s="512"/>
      <c r="J107" s="514"/>
      <c r="K107" s="510"/>
      <c r="L107" s="511"/>
      <c r="M107" s="529"/>
      <c r="N107" s="530"/>
      <c r="O107" s="510"/>
      <c r="P107" s="510"/>
      <c r="Q107" s="511"/>
      <c r="R107" s="511"/>
      <c r="S107" s="517"/>
      <c r="T107" s="510"/>
      <c r="U107" s="528"/>
    </row>
    <row r="108" spans="1:21">
      <c r="A108" s="479"/>
      <c r="B108" s="4"/>
      <c r="C108" s="536"/>
      <c r="D108" s="537"/>
      <c r="E108" s="537"/>
      <c r="F108" s="537"/>
      <c r="G108" s="537"/>
      <c r="H108" s="538"/>
      <c r="I108" s="537"/>
      <c r="J108" s="539"/>
      <c r="K108" s="536"/>
      <c r="L108" s="537"/>
      <c r="M108" s="538"/>
      <c r="N108" s="540"/>
      <c r="O108" s="536"/>
      <c r="P108" s="536"/>
      <c r="Q108" s="537"/>
      <c r="R108" s="537"/>
      <c r="S108" s="541"/>
      <c r="T108" s="536"/>
      <c r="U108" s="542"/>
    </row>
    <row r="109" spans="1:21">
      <c r="A109" s="479"/>
      <c r="B109" s="4"/>
      <c r="C109" s="543"/>
      <c r="D109" s="544"/>
      <c r="E109" s="544"/>
      <c r="F109" s="544"/>
      <c r="G109" s="544"/>
      <c r="H109" s="545"/>
      <c r="I109" s="544"/>
      <c r="J109" s="546"/>
      <c r="K109" s="543"/>
      <c r="L109" s="547"/>
      <c r="M109" s="545"/>
      <c r="N109" s="548"/>
      <c r="O109" s="543"/>
      <c r="P109" s="543"/>
      <c r="Q109" s="547"/>
      <c r="R109" s="547"/>
      <c r="S109" s="549"/>
      <c r="T109" s="543"/>
      <c r="U109" s="550"/>
    </row>
    <row r="110" spans="1:21">
      <c r="A110" s="479"/>
      <c r="B110" s="480"/>
      <c r="C110" s="551"/>
      <c r="D110" s="552"/>
      <c r="E110" s="552"/>
      <c r="F110" s="552"/>
      <c r="G110" s="552"/>
      <c r="H110" s="529"/>
      <c r="I110" s="552"/>
      <c r="J110" s="531"/>
      <c r="K110" s="551"/>
      <c r="L110" s="552"/>
      <c r="M110" s="529"/>
      <c r="N110" s="530"/>
      <c r="O110" s="551"/>
      <c r="P110" s="551"/>
      <c r="Q110" s="552"/>
      <c r="R110" s="552"/>
      <c r="S110" s="553"/>
      <c r="T110" s="551"/>
      <c r="U110" s="554"/>
    </row>
    <row r="111" spans="1:21">
      <c r="A111" s="479"/>
      <c r="B111" s="4"/>
      <c r="C111" s="506"/>
      <c r="D111" s="508"/>
      <c r="E111" s="508"/>
      <c r="F111" s="508"/>
      <c r="G111" s="508"/>
      <c r="H111" s="508"/>
      <c r="I111" s="508"/>
      <c r="J111" s="509"/>
      <c r="K111" s="506"/>
      <c r="L111" s="507"/>
      <c r="M111" s="507"/>
      <c r="N111" s="507"/>
      <c r="O111" s="506"/>
      <c r="P111" s="506"/>
      <c r="Q111" s="507"/>
      <c r="R111" s="507"/>
      <c r="S111" s="515"/>
      <c r="T111" s="506"/>
      <c r="U111" s="527"/>
    </row>
    <row r="112" spans="1:21">
      <c r="A112" s="479"/>
      <c r="B112" s="4"/>
      <c r="C112" s="506"/>
      <c r="D112" s="508"/>
      <c r="E112" s="508"/>
      <c r="F112" s="508"/>
      <c r="G112" s="508"/>
      <c r="H112" s="508"/>
      <c r="I112" s="508"/>
      <c r="J112" s="509"/>
      <c r="K112" s="506"/>
      <c r="L112" s="507"/>
      <c r="M112" s="507"/>
      <c r="N112" s="507"/>
      <c r="O112" s="506"/>
      <c r="P112" s="506"/>
      <c r="Q112" s="507"/>
      <c r="R112" s="507"/>
      <c r="S112" s="515"/>
      <c r="T112" s="506"/>
      <c r="U112" s="527"/>
    </row>
    <row r="113" spans="1:21">
      <c r="A113" s="502"/>
      <c r="B113" s="481"/>
      <c r="C113" s="510"/>
      <c r="D113" s="512"/>
      <c r="E113" s="512"/>
      <c r="F113" s="512"/>
      <c r="G113" s="512"/>
      <c r="H113" s="529"/>
      <c r="I113" s="512"/>
      <c r="J113" s="514"/>
      <c r="K113" s="510"/>
      <c r="L113" s="511"/>
      <c r="M113" s="529"/>
      <c r="N113" s="530"/>
      <c r="O113" s="510"/>
      <c r="P113" s="510"/>
      <c r="Q113" s="511"/>
      <c r="R113" s="511"/>
      <c r="S113" s="517"/>
      <c r="T113" s="510"/>
      <c r="U113" s="528"/>
    </row>
    <row r="114" spans="1:21">
      <c r="A114" s="478"/>
      <c r="B114" s="3"/>
      <c r="C114" s="536"/>
      <c r="D114" s="537"/>
      <c r="E114" s="537"/>
      <c r="F114" s="537"/>
      <c r="G114" s="537"/>
      <c r="H114" s="538"/>
      <c r="I114" s="537"/>
      <c r="J114" s="539"/>
      <c r="K114" s="536"/>
      <c r="L114" s="537"/>
      <c r="M114" s="538"/>
      <c r="N114" s="540"/>
      <c r="O114" s="536"/>
      <c r="P114" s="536"/>
      <c r="Q114" s="537"/>
      <c r="R114" s="537"/>
      <c r="S114" s="541"/>
      <c r="T114" s="536"/>
      <c r="U114" s="542"/>
    </row>
    <row r="115" spans="1:21">
      <c r="A115" s="479"/>
      <c r="B115" s="4"/>
      <c r="C115" s="543"/>
      <c r="D115" s="544"/>
      <c r="E115" s="544"/>
      <c r="F115" s="544"/>
      <c r="G115" s="544"/>
      <c r="H115" s="545"/>
      <c r="I115" s="544"/>
      <c r="J115" s="546"/>
      <c r="K115" s="543"/>
      <c r="L115" s="547"/>
      <c r="M115" s="545"/>
      <c r="N115" s="548"/>
      <c r="O115" s="543"/>
      <c r="P115" s="543"/>
      <c r="Q115" s="547"/>
      <c r="R115" s="547"/>
      <c r="S115" s="549"/>
      <c r="T115" s="543"/>
      <c r="U115" s="550"/>
    </row>
    <row r="116" spans="1:21">
      <c r="A116" s="479"/>
      <c r="B116" s="505"/>
      <c r="C116" s="510"/>
      <c r="D116" s="512"/>
      <c r="E116" s="512"/>
      <c r="F116" s="512"/>
      <c r="G116" s="512"/>
      <c r="H116" s="529"/>
      <c r="I116" s="512"/>
      <c r="J116" s="514"/>
      <c r="K116" s="510"/>
      <c r="L116" s="511"/>
      <c r="M116" s="529"/>
      <c r="N116" s="530"/>
      <c r="O116" s="510"/>
      <c r="P116" s="510"/>
      <c r="Q116" s="511"/>
      <c r="R116" s="511"/>
      <c r="S116" s="517"/>
      <c r="T116" s="510"/>
      <c r="U116" s="528"/>
    </row>
    <row r="117" spans="1:21">
      <c r="A117" s="479"/>
      <c r="B117" s="4"/>
      <c r="C117" s="536"/>
      <c r="D117" s="537"/>
      <c r="E117" s="537"/>
      <c r="F117" s="537"/>
      <c r="G117" s="537"/>
      <c r="H117" s="538"/>
      <c r="I117" s="537"/>
      <c r="J117" s="539"/>
      <c r="K117" s="536"/>
      <c r="L117" s="537"/>
      <c r="M117" s="538"/>
      <c r="N117" s="540"/>
      <c r="O117" s="536"/>
      <c r="P117" s="536"/>
      <c r="Q117" s="537"/>
      <c r="R117" s="537"/>
      <c r="S117" s="541"/>
      <c r="T117" s="536"/>
      <c r="U117" s="542"/>
    </row>
    <row r="118" spans="1:21">
      <c r="A118" s="414"/>
      <c r="B118" s="4"/>
      <c r="C118" s="543"/>
      <c r="D118" s="544"/>
      <c r="E118" s="544"/>
      <c r="F118" s="544"/>
      <c r="G118" s="544"/>
      <c r="H118" s="545"/>
      <c r="I118" s="544"/>
      <c r="J118" s="546"/>
      <c r="K118" s="543"/>
      <c r="L118" s="547"/>
      <c r="M118" s="545"/>
      <c r="N118" s="548"/>
      <c r="O118" s="543"/>
      <c r="P118" s="543"/>
      <c r="Q118" s="547"/>
      <c r="R118" s="547"/>
      <c r="S118" s="549"/>
      <c r="T118" s="543"/>
      <c r="U118" s="550"/>
    </row>
    <row r="119" spans="1:21">
      <c r="A119" s="414"/>
      <c r="B119" s="480"/>
      <c r="C119" s="510"/>
      <c r="D119" s="512"/>
      <c r="E119" s="512"/>
      <c r="F119" s="512"/>
      <c r="G119" s="512"/>
      <c r="H119" s="529"/>
      <c r="I119" s="512"/>
      <c r="J119" s="514"/>
      <c r="K119" s="510"/>
      <c r="L119" s="511"/>
      <c r="M119" s="529"/>
      <c r="N119" s="530"/>
      <c r="O119" s="510"/>
      <c r="P119" s="510"/>
      <c r="Q119" s="511"/>
      <c r="R119" s="511"/>
      <c r="S119" s="517"/>
      <c r="T119" s="510"/>
      <c r="U119" s="528"/>
    </row>
    <row r="120" spans="1:21">
      <c r="A120" s="414"/>
      <c r="B120" s="4"/>
      <c r="C120" s="536"/>
      <c r="D120" s="537"/>
      <c r="E120" s="537"/>
      <c r="F120" s="537"/>
      <c r="G120" s="537"/>
      <c r="H120" s="538"/>
      <c r="I120" s="537"/>
      <c r="J120" s="539"/>
      <c r="K120" s="536"/>
      <c r="L120" s="537"/>
      <c r="M120" s="538"/>
      <c r="N120" s="540"/>
      <c r="O120" s="536"/>
      <c r="P120" s="536"/>
      <c r="Q120" s="537"/>
      <c r="R120" s="537"/>
      <c r="S120" s="541"/>
      <c r="T120" s="536"/>
      <c r="U120" s="542"/>
    </row>
    <row r="121" spans="1:21">
      <c r="A121" s="414"/>
      <c r="B121" s="4"/>
      <c r="C121" s="543"/>
      <c r="D121" s="544"/>
      <c r="E121" s="544"/>
      <c r="F121" s="544"/>
      <c r="G121" s="544"/>
      <c r="H121" s="545"/>
      <c r="I121" s="544"/>
      <c r="J121" s="546"/>
      <c r="K121" s="543"/>
      <c r="L121" s="547"/>
      <c r="M121" s="545"/>
      <c r="N121" s="548"/>
      <c r="O121" s="543"/>
      <c r="P121" s="543"/>
      <c r="Q121" s="547"/>
      <c r="R121" s="547"/>
      <c r="S121" s="549"/>
      <c r="T121" s="543"/>
      <c r="U121" s="550"/>
    </row>
    <row r="122" spans="1:21">
      <c r="A122" s="414"/>
      <c r="B122" s="480"/>
      <c r="C122" s="510"/>
      <c r="D122" s="512"/>
      <c r="E122" s="512"/>
      <c r="F122" s="512"/>
      <c r="G122" s="512"/>
      <c r="H122" s="529"/>
      <c r="I122" s="512"/>
      <c r="J122" s="514"/>
      <c r="K122" s="510"/>
      <c r="L122" s="511"/>
      <c r="M122" s="529"/>
      <c r="N122" s="530"/>
      <c r="O122" s="510"/>
      <c r="P122" s="510"/>
      <c r="Q122" s="511"/>
      <c r="R122" s="511"/>
      <c r="S122" s="517"/>
      <c r="T122" s="510"/>
      <c r="U122" s="528"/>
    </row>
    <row r="123" spans="1:21">
      <c r="A123" s="414"/>
      <c r="B123" s="4"/>
      <c r="C123" s="536"/>
      <c r="D123" s="537"/>
      <c r="E123" s="537"/>
      <c r="F123" s="537"/>
      <c r="G123" s="537"/>
      <c r="H123" s="538"/>
      <c r="I123" s="537"/>
      <c r="J123" s="539"/>
      <c r="K123" s="536"/>
      <c r="L123" s="537"/>
      <c r="M123" s="538"/>
      <c r="N123" s="540"/>
      <c r="O123" s="536"/>
      <c r="P123" s="536"/>
      <c r="Q123" s="537"/>
      <c r="R123" s="537"/>
      <c r="S123" s="541"/>
      <c r="T123" s="536"/>
      <c r="U123" s="542"/>
    </row>
    <row r="124" spans="1:21">
      <c r="A124" s="414"/>
      <c r="B124" s="4"/>
      <c r="C124" s="543"/>
      <c r="D124" s="544"/>
      <c r="E124" s="544"/>
      <c r="F124" s="544"/>
      <c r="G124" s="544"/>
      <c r="H124" s="545"/>
      <c r="I124" s="544"/>
      <c r="J124" s="546"/>
      <c r="K124" s="543"/>
      <c r="L124" s="547"/>
      <c r="M124" s="545"/>
      <c r="N124" s="548"/>
      <c r="O124" s="543"/>
      <c r="P124" s="543"/>
      <c r="Q124" s="547"/>
      <c r="R124" s="547"/>
      <c r="S124" s="549"/>
      <c r="T124" s="543"/>
      <c r="U124" s="550"/>
    </row>
    <row r="125" spans="1:21">
      <c r="A125" s="414"/>
      <c r="B125" s="480"/>
      <c r="C125" s="510"/>
      <c r="D125" s="512"/>
      <c r="E125" s="512"/>
      <c r="F125" s="512"/>
      <c r="G125" s="512"/>
      <c r="H125" s="529"/>
      <c r="I125" s="512"/>
      <c r="J125" s="514"/>
      <c r="K125" s="510"/>
      <c r="L125" s="511"/>
      <c r="M125" s="529"/>
      <c r="N125" s="530"/>
      <c r="O125" s="510"/>
      <c r="P125" s="510"/>
      <c r="Q125" s="511"/>
      <c r="R125" s="511"/>
      <c r="S125" s="517"/>
      <c r="T125" s="510"/>
      <c r="U125" s="528"/>
    </row>
    <row r="126" spans="1:21">
      <c r="A126" s="479"/>
      <c r="B126" s="4"/>
      <c r="C126" s="536"/>
      <c r="D126" s="537"/>
      <c r="E126" s="537"/>
      <c r="F126" s="537"/>
      <c r="G126" s="537"/>
      <c r="H126" s="538"/>
      <c r="I126" s="537"/>
      <c r="J126" s="539"/>
      <c r="K126" s="536"/>
      <c r="L126" s="537"/>
      <c r="M126" s="538"/>
      <c r="N126" s="540"/>
      <c r="O126" s="536"/>
      <c r="P126" s="536"/>
      <c r="Q126" s="537"/>
      <c r="R126" s="537"/>
      <c r="S126" s="541"/>
      <c r="T126" s="536"/>
      <c r="U126" s="542"/>
    </row>
    <row r="127" spans="1:21">
      <c r="A127" s="479"/>
      <c r="B127" s="4"/>
      <c r="C127" s="543"/>
      <c r="D127" s="544"/>
      <c r="E127" s="544"/>
      <c r="F127" s="544"/>
      <c r="G127" s="544"/>
      <c r="H127" s="545"/>
      <c r="I127" s="544"/>
      <c r="J127" s="546"/>
      <c r="K127" s="543"/>
      <c r="L127" s="547"/>
      <c r="M127" s="545"/>
      <c r="N127" s="548"/>
      <c r="O127" s="543"/>
      <c r="P127" s="543"/>
      <c r="Q127" s="547"/>
      <c r="R127" s="547"/>
      <c r="S127" s="549"/>
      <c r="T127" s="543"/>
      <c r="U127" s="550"/>
    </row>
    <row r="128" spans="1:21">
      <c r="A128" s="479"/>
      <c r="B128" s="480"/>
      <c r="C128" s="510"/>
      <c r="D128" s="512"/>
      <c r="E128" s="512"/>
      <c r="F128" s="512"/>
      <c r="G128" s="512"/>
      <c r="H128" s="529"/>
      <c r="I128" s="512"/>
      <c r="J128" s="514"/>
      <c r="K128" s="510"/>
      <c r="L128" s="511"/>
      <c r="M128" s="529"/>
      <c r="N128" s="530"/>
      <c r="O128" s="510"/>
      <c r="P128" s="510"/>
      <c r="Q128" s="511"/>
      <c r="R128" s="511"/>
      <c r="S128" s="517"/>
      <c r="T128" s="510"/>
      <c r="U128" s="528"/>
    </row>
    <row r="129" spans="1:21">
      <c r="A129" s="479"/>
      <c r="B129" s="4"/>
      <c r="C129" s="536"/>
      <c r="D129" s="537"/>
      <c r="E129" s="537"/>
      <c r="F129" s="537"/>
      <c r="G129" s="537"/>
      <c r="H129" s="538"/>
      <c r="I129" s="537"/>
      <c r="J129" s="539"/>
      <c r="K129" s="536"/>
      <c r="L129" s="537"/>
      <c r="M129" s="538"/>
      <c r="N129" s="540"/>
      <c r="O129" s="536"/>
      <c r="P129" s="536"/>
      <c r="Q129" s="537"/>
      <c r="R129" s="537"/>
      <c r="S129" s="541"/>
      <c r="T129" s="536"/>
      <c r="U129" s="542"/>
    </row>
    <row r="130" spans="1:21">
      <c r="A130" s="479"/>
      <c r="B130" s="4"/>
      <c r="C130" s="543"/>
      <c r="D130" s="544"/>
      <c r="E130" s="544"/>
      <c r="F130" s="544"/>
      <c r="G130" s="544"/>
      <c r="H130" s="545"/>
      <c r="I130" s="544"/>
      <c r="J130" s="546"/>
      <c r="K130" s="543"/>
      <c r="L130" s="547"/>
      <c r="M130" s="545"/>
      <c r="N130" s="548"/>
      <c r="O130" s="543"/>
      <c r="P130" s="543"/>
      <c r="Q130" s="547"/>
      <c r="R130" s="547"/>
      <c r="S130" s="549"/>
      <c r="T130" s="543"/>
      <c r="U130" s="550"/>
    </row>
    <row r="131" spans="1:21">
      <c r="A131" s="479"/>
      <c r="B131" s="480"/>
      <c r="C131" s="510"/>
      <c r="D131" s="512"/>
      <c r="E131" s="512"/>
      <c r="F131" s="512"/>
      <c r="G131" s="512"/>
      <c r="H131" s="529"/>
      <c r="I131" s="512"/>
      <c r="J131" s="514"/>
      <c r="K131" s="510"/>
      <c r="L131" s="511"/>
      <c r="M131" s="529"/>
      <c r="N131" s="530"/>
      <c r="O131" s="510"/>
      <c r="P131" s="510"/>
      <c r="Q131" s="511"/>
      <c r="R131" s="511"/>
      <c r="S131" s="517"/>
      <c r="T131" s="510"/>
      <c r="U131" s="528"/>
    </row>
    <row r="132" spans="1:21">
      <c r="A132" s="479"/>
      <c r="B132" s="4"/>
      <c r="C132" s="536"/>
      <c r="D132" s="537"/>
      <c r="E132" s="537"/>
      <c r="F132" s="537"/>
      <c r="G132" s="537"/>
      <c r="H132" s="538"/>
      <c r="I132" s="537"/>
      <c r="J132" s="539"/>
      <c r="K132" s="536"/>
      <c r="L132" s="537"/>
      <c r="M132" s="538"/>
      <c r="N132" s="540"/>
      <c r="O132" s="536"/>
      <c r="P132" s="536"/>
      <c r="Q132" s="537"/>
      <c r="R132" s="537"/>
      <c r="S132" s="541"/>
      <c r="T132" s="536"/>
      <c r="U132" s="542"/>
    </row>
    <row r="133" spans="1:21">
      <c r="A133" s="479"/>
      <c r="B133" s="4"/>
      <c r="C133" s="543"/>
      <c r="D133" s="544"/>
      <c r="E133" s="544"/>
      <c r="F133" s="544"/>
      <c r="G133" s="544"/>
      <c r="H133" s="545"/>
      <c r="I133" s="544"/>
      <c r="J133" s="546"/>
      <c r="K133" s="543"/>
      <c r="L133" s="547"/>
      <c r="M133" s="545"/>
      <c r="N133" s="548"/>
      <c r="O133" s="543"/>
      <c r="P133" s="543"/>
      <c r="Q133" s="547"/>
      <c r="R133" s="547"/>
      <c r="S133" s="549"/>
      <c r="T133" s="543"/>
      <c r="U133" s="550"/>
    </row>
    <row r="134" spans="1:21">
      <c r="A134" s="479"/>
      <c r="B134" s="480"/>
      <c r="C134" s="510"/>
      <c r="D134" s="512"/>
      <c r="E134" s="512"/>
      <c r="F134" s="512"/>
      <c r="G134" s="512"/>
      <c r="H134" s="529"/>
      <c r="I134" s="512"/>
      <c r="J134" s="514"/>
      <c r="K134" s="510"/>
      <c r="L134" s="511"/>
      <c r="M134" s="529"/>
      <c r="N134" s="530"/>
      <c r="O134" s="510"/>
      <c r="P134" s="510"/>
      <c r="Q134" s="511"/>
      <c r="R134" s="511"/>
      <c r="S134" s="517"/>
      <c r="T134" s="510"/>
      <c r="U134" s="528"/>
    </row>
    <row r="135" spans="1:21">
      <c r="A135" s="479"/>
      <c r="B135" s="4"/>
      <c r="C135" s="536"/>
      <c r="D135" s="537"/>
      <c r="E135" s="537"/>
      <c r="F135" s="537"/>
      <c r="G135" s="537"/>
      <c r="H135" s="538"/>
      <c r="I135" s="537"/>
      <c r="J135" s="539"/>
      <c r="K135" s="536"/>
      <c r="L135" s="537"/>
      <c r="M135" s="538"/>
      <c r="N135" s="540"/>
      <c r="O135" s="536"/>
      <c r="P135" s="536"/>
      <c r="Q135" s="537"/>
      <c r="R135" s="537"/>
      <c r="S135" s="541"/>
      <c r="T135" s="536"/>
      <c r="U135" s="542"/>
    </row>
    <row r="136" spans="1:21">
      <c r="A136" s="479"/>
      <c r="B136" s="4"/>
      <c r="C136" s="543"/>
      <c r="D136" s="544"/>
      <c r="E136" s="544"/>
      <c r="F136" s="544"/>
      <c r="G136" s="544"/>
      <c r="H136" s="545"/>
      <c r="I136" s="544"/>
      <c r="J136" s="546"/>
      <c r="K136" s="543"/>
      <c r="L136" s="547"/>
      <c r="M136" s="545"/>
      <c r="N136" s="548"/>
      <c r="O136" s="543"/>
      <c r="P136" s="543"/>
      <c r="Q136" s="547"/>
      <c r="R136" s="547"/>
      <c r="S136" s="549"/>
      <c r="T136" s="543"/>
      <c r="U136" s="550"/>
    </row>
    <row r="137" spans="1:21">
      <c r="A137" s="479"/>
      <c r="B137" s="480"/>
      <c r="C137" s="510"/>
      <c r="D137" s="512"/>
      <c r="E137" s="512"/>
      <c r="F137" s="512"/>
      <c r="G137" s="512"/>
      <c r="H137" s="529"/>
      <c r="I137" s="512"/>
      <c r="J137" s="514"/>
      <c r="K137" s="510"/>
      <c r="L137" s="511"/>
      <c r="M137" s="529"/>
      <c r="N137" s="530"/>
      <c r="O137" s="510"/>
      <c r="P137" s="510"/>
      <c r="Q137" s="511"/>
      <c r="R137" s="511"/>
      <c r="S137" s="517"/>
      <c r="T137" s="510"/>
      <c r="U137" s="528"/>
    </row>
    <row r="138" spans="1:21">
      <c r="A138" s="479"/>
      <c r="B138" s="4"/>
      <c r="C138" s="536"/>
      <c r="D138" s="537"/>
      <c r="E138" s="537"/>
      <c r="F138" s="537"/>
      <c r="G138" s="537"/>
      <c r="H138" s="538"/>
      <c r="I138" s="537"/>
      <c r="J138" s="539"/>
      <c r="K138" s="536"/>
      <c r="L138" s="537"/>
      <c r="M138" s="538"/>
      <c r="N138" s="540"/>
      <c r="O138" s="536"/>
      <c r="P138" s="536"/>
      <c r="Q138" s="537"/>
      <c r="R138" s="537"/>
      <c r="S138" s="541"/>
      <c r="T138" s="536"/>
      <c r="U138" s="542"/>
    </row>
    <row r="139" spans="1:21">
      <c r="A139" s="479"/>
      <c r="B139" s="4"/>
      <c r="C139" s="543"/>
      <c r="D139" s="544"/>
      <c r="E139" s="544"/>
      <c r="F139" s="544"/>
      <c r="G139" s="544"/>
      <c r="H139" s="545"/>
      <c r="I139" s="544"/>
      <c r="J139" s="546"/>
      <c r="K139" s="543"/>
      <c r="L139" s="547"/>
      <c r="M139" s="545"/>
      <c r="N139" s="548"/>
      <c r="O139" s="543"/>
      <c r="P139" s="543"/>
      <c r="Q139" s="547"/>
      <c r="R139" s="547"/>
      <c r="S139" s="549"/>
      <c r="T139" s="543"/>
      <c r="U139" s="550"/>
    </row>
    <row r="140" spans="1:21">
      <c r="A140" s="479"/>
      <c r="B140" s="480"/>
      <c r="C140" s="510"/>
      <c r="D140" s="512"/>
      <c r="E140" s="512"/>
      <c r="F140" s="512"/>
      <c r="G140" s="512"/>
      <c r="H140" s="529"/>
      <c r="I140" s="512"/>
      <c r="J140" s="514"/>
      <c r="K140" s="510"/>
      <c r="L140" s="511"/>
      <c r="M140" s="529"/>
      <c r="N140" s="530"/>
      <c r="O140" s="510"/>
      <c r="P140" s="510"/>
      <c r="Q140" s="511"/>
      <c r="R140" s="511"/>
      <c r="S140" s="517"/>
      <c r="T140" s="510"/>
      <c r="U140" s="528"/>
    </row>
    <row r="141" spans="1:21">
      <c r="A141" s="479"/>
      <c r="B141" s="4"/>
      <c r="C141" s="536"/>
      <c r="D141" s="537"/>
      <c r="E141" s="537"/>
      <c r="F141" s="537"/>
      <c r="G141" s="537"/>
      <c r="H141" s="538"/>
      <c r="I141" s="537"/>
      <c r="J141" s="539"/>
      <c r="K141" s="536"/>
      <c r="L141" s="537"/>
      <c r="M141" s="538"/>
      <c r="N141" s="540"/>
      <c r="O141" s="536"/>
      <c r="P141" s="536"/>
      <c r="Q141" s="537"/>
      <c r="R141" s="537"/>
      <c r="S141" s="541"/>
      <c r="T141" s="536"/>
      <c r="U141" s="542"/>
    </row>
    <row r="142" spans="1:21">
      <c r="A142" s="479"/>
      <c r="B142" s="4"/>
      <c r="C142" s="543"/>
      <c r="D142" s="544"/>
      <c r="E142" s="544"/>
      <c r="F142" s="544"/>
      <c r="G142" s="544"/>
      <c r="H142" s="545"/>
      <c r="I142" s="544"/>
      <c r="J142" s="546"/>
      <c r="K142" s="543"/>
      <c r="L142" s="547"/>
      <c r="M142" s="545"/>
      <c r="N142" s="548"/>
      <c r="O142" s="543"/>
      <c r="P142" s="543"/>
      <c r="Q142" s="547"/>
      <c r="R142" s="547"/>
      <c r="S142" s="549"/>
      <c r="T142" s="543"/>
      <c r="U142" s="550"/>
    </row>
    <row r="143" spans="1:21">
      <c r="A143" s="479"/>
      <c r="B143" s="480"/>
      <c r="C143" s="510"/>
      <c r="D143" s="512"/>
      <c r="E143" s="512"/>
      <c r="F143" s="512"/>
      <c r="G143" s="512"/>
      <c r="H143" s="529"/>
      <c r="I143" s="512"/>
      <c r="J143" s="514"/>
      <c r="K143" s="510"/>
      <c r="L143" s="511"/>
      <c r="M143" s="529"/>
      <c r="N143" s="530"/>
      <c r="O143" s="510"/>
      <c r="P143" s="510"/>
      <c r="Q143" s="511"/>
      <c r="R143" s="511"/>
      <c r="S143" s="517"/>
      <c r="T143" s="510"/>
      <c r="U143" s="528"/>
    </row>
    <row r="144" spans="1:21">
      <c r="A144" s="479"/>
      <c r="B144" s="4"/>
      <c r="C144" s="536"/>
      <c r="D144" s="537"/>
      <c r="E144" s="537"/>
      <c r="F144" s="537"/>
      <c r="G144" s="537"/>
      <c r="H144" s="538"/>
      <c r="I144" s="537"/>
      <c r="J144" s="539"/>
      <c r="K144" s="536"/>
      <c r="L144" s="537"/>
      <c r="M144" s="538"/>
      <c r="N144" s="540"/>
      <c r="O144" s="536"/>
      <c r="P144" s="536"/>
      <c r="Q144" s="537"/>
      <c r="R144" s="537"/>
      <c r="S144" s="541"/>
      <c r="T144" s="536"/>
      <c r="U144" s="542"/>
    </row>
    <row r="145" spans="1:21">
      <c r="A145" s="479"/>
      <c r="B145" s="4"/>
      <c r="C145" s="543"/>
      <c r="D145" s="544"/>
      <c r="E145" s="544"/>
      <c r="F145" s="544"/>
      <c r="G145" s="544"/>
      <c r="H145" s="545"/>
      <c r="I145" s="544"/>
      <c r="J145" s="546"/>
      <c r="K145" s="543"/>
      <c r="L145" s="547"/>
      <c r="M145" s="545"/>
      <c r="N145" s="548"/>
      <c r="O145" s="543"/>
      <c r="P145" s="543"/>
      <c r="Q145" s="547"/>
      <c r="R145" s="547"/>
      <c r="S145" s="549"/>
      <c r="T145" s="543"/>
      <c r="U145" s="550"/>
    </row>
    <row r="146" spans="1:21">
      <c r="A146" s="479"/>
      <c r="B146" s="480"/>
      <c r="C146" s="551"/>
      <c r="D146" s="552"/>
      <c r="E146" s="552"/>
      <c r="F146" s="552"/>
      <c r="G146" s="552"/>
      <c r="H146" s="529"/>
      <c r="I146" s="552"/>
      <c r="J146" s="531"/>
      <c r="K146" s="551"/>
      <c r="L146" s="552"/>
      <c r="M146" s="529"/>
      <c r="N146" s="530"/>
      <c r="O146" s="551"/>
      <c r="P146" s="551"/>
      <c r="Q146" s="552"/>
      <c r="R146" s="552"/>
      <c r="S146" s="553"/>
      <c r="T146" s="551"/>
      <c r="U146" s="554"/>
    </row>
    <row r="147" spans="1:21">
      <c r="A147" s="479"/>
      <c r="B147" s="4"/>
      <c r="C147" s="506"/>
      <c r="D147" s="508"/>
      <c r="E147" s="508"/>
      <c r="F147" s="508"/>
      <c r="G147" s="508"/>
      <c r="H147" s="508"/>
      <c r="I147" s="508"/>
      <c r="J147" s="509"/>
      <c r="K147" s="506"/>
      <c r="L147" s="507"/>
      <c r="M147" s="507"/>
      <c r="N147" s="507"/>
      <c r="O147" s="506"/>
      <c r="P147" s="506"/>
      <c r="Q147" s="507"/>
      <c r="R147" s="507"/>
      <c r="S147" s="515"/>
      <c r="T147" s="506"/>
      <c r="U147" s="527"/>
    </row>
    <row r="148" spans="1:21">
      <c r="A148" s="479"/>
      <c r="B148" s="4"/>
      <c r="C148" s="506"/>
      <c r="D148" s="508"/>
      <c r="E148" s="508"/>
      <c r="F148" s="508"/>
      <c r="G148" s="508"/>
      <c r="H148" s="508"/>
      <c r="I148" s="508"/>
      <c r="J148" s="509"/>
      <c r="K148" s="506"/>
      <c r="L148" s="507"/>
      <c r="M148" s="507"/>
      <c r="N148" s="507"/>
      <c r="O148" s="506"/>
      <c r="P148" s="506"/>
      <c r="Q148" s="507"/>
      <c r="R148" s="507"/>
      <c r="S148" s="515"/>
      <c r="T148" s="506"/>
      <c r="U148" s="527"/>
    </row>
    <row r="149" spans="1:21">
      <c r="A149" s="502"/>
      <c r="B149" s="481"/>
      <c r="C149" s="510"/>
      <c r="D149" s="512"/>
      <c r="E149" s="512"/>
      <c r="F149" s="512"/>
      <c r="G149" s="512"/>
      <c r="H149" s="529"/>
      <c r="I149" s="512"/>
      <c r="J149" s="514"/>
      <c r="K149" s="510"/>
      <c r="L149" s="511"/>
      <c r="M149" s="529"/>
      <c r="N149" s="530"/>
      <c r="O149" s="510"/>
      <c r="P149" s="510"/>
      <c r="Q149" s="511"/>
      <c r="R149" s="511"/>
      <c r="S149" s="517"/>
      <c r="T149" s="510"/>
      <c r="U149" s="528"/>
    </row>
    <row r="150" spans="1:21">
      <c r="A150" s="478"/>
      <c r="B150" s="3"/>
      <c r="C150" s="536"/>
      <c r="D150" s="537"/>
      <c r="E150" s="537"/>
      <c r="F150" s="537"/>
      <c r="G150" s="537"/>
      <c r="H150" s="538"/>
      <c r="I150" s="537"/>
      <c r="J150" s="539"/>
      <c r="K150" s="536"/>
      <c r="L150" s="537"/>
      <c r="M150" s="538"/>
      <c r="N150" s="540"/>
      <c r="O150" s="536"/>
      <c r="P150" s="536"/>
      <c r="Q150" s="537"/>
      <c r="R150" s="537"/>
      <c r="S150" s="541"/>
      <c r="T150" s="536"/>
      <c r="U150" s="542"/>
    </row>
    <row r="151" spans="1:21">
      <c r="A151" s="479"/>
      <c r="B151" s="4"/>
      <c r="C151" s="543"/>
      <c r="D151" s="544"/>
      <c r="E151" s="544"/>
      <c r="F151" s="544"/>
      <c r="G151" s="544"/>
      <c r="H151" s="545"/>
      <c r="I151" s="544"/>
      <c r="J151" s="546"/>
      <c r="K151" s="543"/>
      <c r="L151" s="547"/>
      <c r="M151" s="545"/>
      <c r="N151" s="548"/>
      <c r="O151" s="543"/>
      <c r="P151" s="543"/>
      <c r="Q151" s="547"/>
      <c r="R151" s="547"/>
      <c r="S151" s="549"/>
      <c r="T151" s="543"/>
      <c r="U151" s="550"/>
    </row>
    <row r="152" spans="1:21">
      <c r="A152" s="479"/>
      <c r="B152" s="505"/>
      <c r="C152" s="510"/>
      <c r="D152" s="512"/>
      <c r="E152" s="512"/>
      <c r="F152" s="512"/>
      <c r="G152" s="512"/>
      <c r="H152" s="529"/>
      <c r="I152" s="512"/>
      <c r="J152" s="514"/>
      <c r="K152" s="510"/>
      <c r="L152" s="511"/>
      <c r="M152" s="529"/>
      <c r="N152" s="530"/>
      <c r="O152" s="510"/>
      <c r="P152" s="510"/>
      <c r="Q152" s="511"/>
      <c r="R152" s="511"/>
      <c r="S152" s="517"/>
      <c r="T152" s="510"/>
      <c r="U152" s="528"/>
    </row>
    <row r="153" spans="1:21">
      <c r="A153" s="479"/>
      <c r="B153" s="4"/>
      <c r="C153" s="536"/>
      <c r="D153" s="537"/>
      <c r="E153" s="537"/>
      <c r="F153" s="537"/>
      <c r="G153" s="537"/>
      <c r="H153" s="538"/>
      <c r="I153" s="537"/>
      <c r="J153" s="539"/>
      <c r="K153" s="536"/>
      <c r="L153" s="537"/>
      <c r="M153" s="538"/>
      <c r="N153" s="540"/>
      <c r="O153" s="536"/>
      <c r="P153" s="536"/>
      <c r="Q153" s="537"/>
      <c r="R153" s="537"/>
      <c r="S153" s="541"/>
      <c r="T153" s="536"/>
      <c r="U153" s="542"/>
    </row>
    <row r="154" spans="1:21">
      <c r="A154" s="414"/>
      <c r="B154" s="4"/>
      <c r="C154" s="543"/>
      <c r="D154" s="544"/>
      <c r="E154" s="544"/>
      <c r="F154" s="544"/>
      <c r="G154" s="544"/>
      <c r="H154" s="545"/>
      <c r="I154" s="544"/>
      <c r="J154" s="546"/>
      <c r="K154" s="543"/>
      <c r="L154" s="547"/>
      <c r="M154" s="545"/>
      <c r="N154" s="548"/>
      <c r="O154" s="543"/>
      <c r="P154" s="543"/>
      <c r="Q154" s="547"/>
      <c r="R154" s="547"/>
      <c r="S154" s="549"/>
      <c r="T154" s="543"/>
      <c r="U154" s="550"/>
    </row>
    <row r="155" spans="1:21">
      <c r="A155" s="414"/>
      <c r="B155" s="480"/>
      <c r="C155" s="510"/>
      <c r="D155" s="512"/>
      <c r="E155" s="512"/>
      <c r="F155" s="512"/>
      <c r="G155" s="512"/>
      <c r="H155" s="529"/>
      <c r="I155" s="512"/>
      <c r="J155" s="514"/>
      <c r="K155" s="510"/>
      <c r="L155" s="511"/>
      <c r="M155" s="529"/>
      <c r="N155" s="530"/>
      <c r="O155" s="510"/>
      <c r="P155" s="510"/>
      <c r="Q155" s="511"/>
      <c r="R155" s="511"/>
      <c r="S155" s="517"/>
      <c r="T155" s="510"/>
      <c r="U155" s="528"/>
    </row>
    <row r="156" spans="1:21">
      <c r="A156" s="414"/>
      <c r="B156" s="4"/>
      <c r="C156" s="536"/>
      <c r="D156" s="537"/>
      <c r="E156" s="537"/>
      <c r="F156" s="537"/>
      <c r="G156" s="537"/>
      <c r="H156" s="538"/>
      <c r="I156" s="537"/>
      <c r="J156" s="539"/>
      <c r="K156" s="536"/>
      <c r="L156" s="537"/>
      <c r="M156" s="538"/>
      <c r="N156" s="540"/>
      <c r="O156" s="536"/>
      <c r="P156" s="536"/>
      <c r="Q156" s="537"/>
      <c r="R156" s="537"/>
      <c r="S156" s="541"/>
      <c r="T156" s="536"/>
      <c r="U156" s="542"/>
    </row>
    <row r="157" spans="1:21">
      <c r="A157" s="414"/>
      <c r="B157" s="4"/>
      <c r="C157" s="543"/>
      <c r="D157" s="544"/>
      <c r="E157" s="544"/>
      <c r="F157" s="544"/>
      <c r="G157" s="544"/>
      <c r="H157" s="545"/>
      <c r="I157" s="544"/>
      <c r="J157" s="546"/>
      <c r="K157" s="543"/>
      <c r="L157" s="547"/>
      <c r="M157" s="545"/>
      <c r="N157" s="548"/>
      <c r="O157" s="543"/>
      <c r="P157" s="543"/>
      <c r="Q157" s="547"/>
      <c r="R157" s="547"/>
      <c r="S157" s="549"/>
      <c r="T157" s="543"/>
      <c r="U157" s="550"/>
    </row>
    <row r="158" spans="1:21">
      <c r="A158" s="414"/>
      <c r="B158" s="480"/>
      <c r="C158" s="510"/>
      <c r="D158" s="512"/>
      <c r="E158" s="512"/>
      <c r="F158" s="512"/>
      <c r="G158" s="512"/>
      <c r="H158" s="529"/>
      <c r="I158" s="512"/>
      <c r="J158" s="514"/>
      <c r="K158" s="510"/>
      <c r="L158" s="511"/>
      <c r="M158" s="529"/>
      <c r="N158" s="530"/>
      <c r="O158" s="510"/>
      <c r="P158" s="510"/>
      <c r="Q158" s="511"/>
      <c r="R158" s="511"/>
      <c r="S158" s="517"/>
      <c r="T158" s="510"/>
      <c r="U158" s="528"/>
    </row>
    <row r="159" spans="1:21">
      <c r="A159" s="414"/>
      <c r="B159" s="4"/>
      <c r="C159" s="536"/>
      <c r="D159" s="537"/>
      <c r="E159" s="537"/>
      <c r="F159" s="537"/>
      <c r="G159" s="537"/>
      <c r="H159" s="538"/>
      <c r="I159" s="537"/>
      <c r="J159" s="539"/>
      <c r="K159" s="536"/>
      <c r="L159" s="537"/>
      <c r="M159" s="538"/>
      <c r="N159" s="540"/>
      <c r="O159" s="536"/>
      <c r="P159" s="536"/>
      <c r="Q159" s="537"/>
      <c r="R159" s="537"/>
      <c r="S159" s="541"/>
      <c r="T159" s="536"/>
      <c r="U159" s="542"/>
    </row>
    <row r="160" spans="1:21">
      <c r="A160" s="414"/>
      <c r="B160" s="4"/>
      <c r="C160" s="543"/>
      <c r="D160" s="544"/>
      <c r="E160" s="544"/>
      <c r="F160" s="544"/>
      <c r="G160" s="544"/>
      <c r="H160" s="545"/>
      <c r="I160" s="544"/>
      <c r="J160" s="546"/>
      <c r="K160" s="543"/>
      <c r="L160" s="547"/>
      <c r="M160" s="545"/>
      <c r="N160" s="548"/>
      <c r="O160" s="543"/>
      <c r="P160" s="543"/>
      <c r="Q160" s="547"/>
      <c r="R160" s="547"/>
      <c r="S160" s="549"/>
      <c r="T160" s="543"/>
      <c r="U160" s="550"/>
    </row>
    <row r="161" spans="1:21">
      <c r="A161" s="414"/>
      <c r="B161" s="480"/>
      <c r="C161" s="510"/>
      <c r="D161" s="512"/>
      <c r="E161" s="512"/>
      <c r="F161" s="512"/>
      <c r="G161" s="512"/>
      <c r="H161" s="529"/>
      <c r="I161" s="512"/>
      <c r="J161" s="514"/>
      <c r="K161" s="510"/>
      <c r="L161" s="511"/>
      <c r="M161" s="529"/>
      <c r="N161" s="530"/>
      <c r="O161" s="510"/>
      <c r="P161" s="510"/>
      <c r="Q161" s="511"/>
      <c r="R161" s="511"/>
      <c r="S161" s="517"/>
      <c r="T161" s="510"/>
      <c r="U161" s="528"/>
    </row>
    <row r="162" spans="1:21">
      <c r="A162" s="479"/>
      <c r="B162" s="4"/>
      <c r="C162" s="536"/>
      <c r="D162" s="537"/>
      <c r="E162" s="537"/>
      <c r="F162" s="537"/>
      <c r="G162" s="537"/>
      <c r="H162" s="538"/>
      <c r="I162" s="537"/>
      <c r="J162" s="539"/>
      <c r="K162" s="536"/>
      <c r="L162" s="537"/>
      <c r="M162" s="538"/>
      <c r="N162" s="540"/>
      <c r="O162" s="536"/>
      <c r="P162" s="536"/>
      <c r="Q162" s="537"/>
      <c r="R162" s="537"/>
      <c r="S162" s="541"/>
      <c r="T162" s="536"/>
      <c r="U162" s="542"/>
    </row>
    <row r="163" spans="1:21">
      <c r="A163" s="479"/>
      <c r="B163" s="4"/>
      <c r="C163" s="543"/>
      <c r="D163" s="544"/>
      <c r="E163" s="544"/>
      <c r="F163" s="544"/>
      <c r="G163" s="544"/>
      <c r="H163" s="545"/>
      <c r="I163" s="544"/>
      <c r="J163" s="546"/>
      <c r="K163" s="543"/>
      <c r="L163" s="547"/>
      <c r="M163" s="545"/>
      <c r="N163" s="548"/>
      <c r="O163" s="543"/>
      <c r="P163" s="543"/>
      <c r="Q163" s="547"/>
      <c r="R163" s="547"/>
      <c r="S163" s="549"/>
      <c r="T163" s="543"/>
      <c r="U163" s="550"/>
    </row>
    <row r="164" spans="1:21">
      <c r="A164" s="479"/>
      <c r="B164" s="480"/>
      <c r="C164" s="510"/>
      <c r="D164" s="512"/>
      <c r="E164" s="512"/>
      <c r="F164" s="512"/>
      <c r="G164" s="512"/>
      <c r="H164" s="529"/>
      <c r="I164" s="512"/>
      <c r="J164" s="514"/>
      <c r="K164" s="510"/>
      <c r="L164" s="511"/>
      <c r="M164" s="529"/>
      <c r="N164" s="530"/>
      <c r="O164" s="510"/>
      <c r="P164" s="510"/>
      <c r="Q164" s="511"/>
      <c r="R164" s="511"/>
      <c r="S164" s="517"/>
      <c r="T164" s="510"/>
      <c r="U164" s="528"/>
    </row>
    <row r="165" spans="1:21">
      <c r="A165" s="479"/>
      <c r="B165" s="4"/>
      <c r="C165" s="536"/>
      <c r="D165" s="537"/>
      <c r="E165" s="537"/>
      <c r="F165" s="537"/>
      <c r="G165" s="537"/>
      <c r="H165" s="538"/>
      <c r="I165" s="537"/>
      <c r="J165" s="539"/>
      <c r="K165" s="536"/>
      <c r="L165" s="537"/>
      <c r="M165" s="538"/>
      <c r="N165" s="540"/>
      <c r="O165" s="536"/>
      <c r="P165" s="536"/>
      <c r="Q165" s="537"/>
      <c r="R165" s="537"/>
      <c r="S165" s="541"/>
      <c r="T165" s="536"/>
      <c r="U165" s="542"/>
    </row>
    <row r="166" spans="1:21">
      <c r="A166" s="479"/>
      <c r="B166" s="4"/>
      <c r="C166" s="543"/>
      <c r="D166" s="544"/>
      <c r="E166" s="544"/>
      <c r="F166" s="544"/>
      <c r="G166" s="544"/>
      <c r="H166" s="545"/>
      <c r="I166" s="544"/>
      <c r="J166" s="546"/>
      <c r="K166" s="543"/>
      <c r="L166" s="547"/>
      <c r="M166" s="545"/>
      <c r="N166" s="548"/>
      <c r="O166" s="543"/>
      <c r="P166" s="543"/>
      <c r="Q166" s="547"/>
      <c r="R166" s="547"/>
      <c r="S166" s="549"/>
      <c r="T166" s="543"/>
      <c r="U166" s="550"/>
    </row>
    <row r="167" spans="1:21">
      <c r="A167" s="479"/>
      <c r="B167" s="480"/>
      <c r="C167" s="510"/>
      <c r="D167" s="512"/>
      <c r="E167" s="512"/>
      <c r="F167" s="512"/>
      <c r="G167" s="512"/>
      <c r="H167" s="529"/>
      <c r="I167" s="512"/>
      <c r="J167" s="514"/>
      <c r="K167" s="510"/>
      <c r="L167" s="511"/>
      <c r="M167" s="529"/>
      <c r="N167" s="530"/>
      <c r="O167" s="510"/>
      <c r="P167" s="510"/>
      <c r="Q167" s="511"/>
      <c r="R167" s="511"/>
      <c r="S167" s="517"/>
      <c r="T167" s="510"/>
      <c r="U167" s="528"/>
    </row>
    <row r="168" spans="1:21">
      <c r="A168" s="479"/>
      <c r="B168" s="4"/>
      <c r="C168" s="536"/>
      <c r="D168" s="537"/>
      <c r="E168" s="537"/>
      <c r="F168" s="537"/>
      <c r="G168" s="537"/>
      <c r="H168" s="538"/>
      <c r="I168" s="537"/>
      <c r="J168" s="539"/>
      <c r="K168" s="536"/>
      <c r="L168" s="537"/>
      <c r="M168" s="538"/>
      <c r="N168" s="540"/>
      <c r="O168" s="536"/>
      <c r="P168" s="536"/>
      <c r="Q168" s="537"/>
      <c r="R168" s="537"/>
      <c r="S168" s="541"/>
      <c r="T168" s="536"/>
      <c r="U168" s="542"/>
    </row>
    <row r="169" spans="1:21">
      <c r="A169" s="479"/>
      <c r="B169" s="4"/>
      <c r="C169" s="543"/>
      <c r="D169" s="544"/>
      <c r="E169" s="544"/>
      <c r="F169" s="544"/>
      <c r="G169" s="544"/>
      <c r="H169" s="545"/>
      <c r="I169" s="544"/>
      <c r="J169" s="546"/>
      <c r="K169" s="543"/>
      <c r="L169" s="547"/>
      <c r="M169" s="545"/>
      <c r="N169" s="548"/>
      <c r="O169" s="543"/>
      <c r="P169" s="543"/>
      <c r="Q169" s="547"/>
      <c r="R169" s="547"/>
      <c r="S169" s="549"/>
      <c r="T169" s="543"/>
      <c r="U169" s="550"/>
    </row>
    <row r="170" spans="1:21">
      <c r="A170" s="479"/>
      <c r="B170" s="480"/>
      <c r="C170" s="510"/>
      <c r="D170" s="512"/>
      <c r="E170" s="512"/>
      <c r="F170" s="512"/>
      <c r="G170" s="512"/>
      <c r="H170" s="529"/>
      <c r="I170" s="512"/>
      <c r="J170" s="514"/>
      <c r="K170" s="510"/>
      <c r="L170" s="511"/>
      <c r="M170" s="529"/>
      <c r="N170" s="530"/>
      <c r="O170" s="510"/>
      <c r="P170" s="510"/>
      <c r="Q170" s="511"/>
      <c r="R170" s="511"/>
      <c r="S170" s="517"/>
      <c r="T170" s="510"/>
      <c r="U170" s="528"/>
    </row>
    <row r="171" spans="1:21">
      <c r="A171" s="479"/>
      <c r="B171" s="4"/>
      <c r="C171" s="536"/>
      <c r="D171" s="537"/>
      <c r="E171" s="537"/>
      <c r="F171" s="537"/>
      <c r="G171" s="537"/>
      <c r="H171" s="538"/>
      <c r="I171" s="537"/>
      <c r="J171" s="539"/>
      <c r="K171" s="536"/>
      <c r="L171" s="537"/>
      <c r="M171" s="538"/>
      <c r="N171" s="540"/>
      <c r="O171" s="536"/>
      <c r="P171" s="536"/>
      <c r="Q171" s="537"/>
      <c r="R171" s="537"/>
      <c r="S171" s="541"/>
      <c r="T171" s="536"/>
      <c r="U171" s="542"/>
    </row>
    <row r="172" spans="1:21">
      <c r="A172" s="479"/>
      <c r="B172" s="4"/>
      <c r="C172" s="543"/>
      <c r="D172" s="544"/>
      <c r="E172" s="544"/>
      <c r="F172" s="544"/>
      <c r="G172" s="544"/>
      <c r="H172" s="545"/>
      <c r="I172" s="544"/>
      <c r="J172" s="546"/>
      <c r="K172" s="543"/>
      <c r="L172" s="547"/>
      <c r="M172" s="545"/>
      <c r="N172" s="548"/>
      <c r="O172" s="543"/>
      <c r="P172" s="543"/>
      <c r="Q172" s="547"/>
      <c r="R172" s="547"/>
      <c r="S172" s="549"/>
      <c r="T172" s="543"/>
      <c r="U172" s="550"/>
    </row>
    <row r="173" spans="1:21">
      <c r="A173" s="479"/>
      <c r="B173" s="480"/>
      <c r="C173" s="510"/>
      <c r="D173" s="512"/>
      <c r="E173" s="512"/>
      <c r="F173" s="512"/>
      <c r="G173" s="512"/>
      <c r="H173" s="529"/>
      <c r="I173" s="512"/>
      <c r="J173" s="514"/>
      <c r="K173" s="510"/>
      <c r="L173" s="511"/>
      <c r="M173" s="529"/>
      <c r="N173" s="530"/>
      <c r="O173" s="510"/>
      <c r="P173" s="510"/>
      <c r="Q173" s="511"/>
      <c r="R173" s="511"/>
      <c r="S173" s="517"/>
      <c r="T173" s="510"/>
      <c r="U173" s="528"/>
    </row>
    <row r="174" spans="1:21">
      <c r="A174" s="479"/>
      <c r="B174" s="4"/>
      <c r="C174" s="536"/>
      <c r="D174" s="537"/>
      <c r="E174" s="537"/>
      <c r="F174" s="537"/>
      <c r="G174" s="537"/>
      <c r="H174" s="538"/>
      <c r="I174" s="537"/>
      <c r="J174" s="539"/>
      <c r="K174" s="536"/>
      <c r="L174" s="537"/>
      <c r="M174" s="538"/>
      <c r="N174" s="540"/>
      <c r="O174" s="536"/>
      <c r="P174" s="536"/>
      <c r="Q174" s="537"/>
      <c r="R174" s="537"/>
      <c r="S174" s="541"/>
      <c r="T174" s="536"/>
      <c r="U174" s="542"/>
    </row>
    <row r="175" spans="1:21">
      <c r="A175" s="479"/>
      <c r="B175" s="4"/>
      <c r="C175" s="543"/>
      <c r="D175" s="544"/>
      <c r="E175" s="544"/>
      <c r="F175" s="544"/>
      <c r="G175" s="544"/>
      <c r="H175" s="545"/>
      <c r="I175" s="544"/>
      <c r="J175" s="546"/>
      <c r="K175" s="543"/>
      <c r="L175" s="547"/>
      <c r="M175" s="545"/>
      <c r="N175" s="548"/>
      <c r="O175" s="543"/>
      <c r="P175" s="543"/>
      <c r="Q175" s="547"/>
      <c r="R175" s="547"/>
      <c r="S175" s="549"/>
      <c r="T175" s="543"/>
      <c r="U175" s="550"/>
    </row>
    <row r="176" spans="1:21">
      <c r="A176" s="479"/>
      <c r="B176" s="480"/>
      <c r="C176" s="510"/>
      <c r="D176" s="512"/>
      <c r="E176" s="512"/>
      <c r="F176" s="512"/>
      <c r="G176" s="512"/>
      <c r="H176" s="529"/>
      <c r="I176" s="512"/>
      <c r="J176" s="514"/>
      <c r="K176" s="510"/>
      <c r="L176" s="511"/>
      <c r="M176" s="529"/>
      <c r="N176" s="530"/>
      <c r="O176" s="510"/>
      <c r="P176" s="510"/>
      <c r="Q176" s="511"/>
      <c r="R176" s="511"/>
      <c r="S176" s="517"/>
      <c r="T176" s="510"/>
      <c r="U176" s="528"/>
    </row>
    <row r="177" spans="1:21">
      <c r="A177" s="479"/>
      <c r="B177" s="4"/>
      <c r="C177" s="536"/>
      <c r="D177" s="537"/>
      <c r="E177" s="537"/>
      <c r="F177" s="537"/>
      <c r="G177" s="537"/>
      <c r="H177" s="538"/>
      <c r="I177" s="537"/>
      <c r="J177" s="539"/>
      <c r="K177" s="536"/>
      <c r="L177" s="537"/>
      <c r="M177" s="538"/>
      <c r="N177" s="540"/>
      <c r="O177" s="536"/>
      <c r="P177" s="536"/>
      <c r="Q177" s="537"/>
      <c r="R177" s="537"/>
      <c r="S177" s="541"/>
      <c r="T177" s="536"/>
      <c r="U177" s="542"/>
    </row>
    <row r="178" spans="1:21">
      <c r="A178" s="479"/>
      <c r="B178" s="4"/>
      <c r="C178" s="543"/>
      <c r="D178" s="544"/>
      <c r="E178" s="544"/>
      <c r="F178" s="544"/>
      <c r="G178" s="544"/>
      <c r="H178" s="545"/>
      <c r="I178" s="544"/>
      <c r="J178" s="546"/>
      <c r="K178" s="543"/>
      <c r="L178" s="547"/>
      <c r="M178" s="545"/>
      <c r="N178" s="548"/>
      <c r="O178" s="543"/>
      <c r="P178" s="543"/>
      <c r="Q178" s="547"/>
      <c r="R178" s="547"/>
      <c r="S178" s="549"/>
      <c r="T178" s="543"/>
      <c r="U178" s="550"/>
    </row>
    <row r="179" spans="1:21">
      <c r="A179" s="479"/>
      <c r="B179" s="480"/>
      <c r="C179" s="510"/>
      <c r="D179" s="512"/>
      <c r="E179" s="512"/>
      <c r="F179" s="512"/>
      <c r="G179" s="512"/>
      <c r="H179" s="529"/>
      <c r="I179" s="512"/>
      <c r="J179" s="514"/>
      <c r="K179" s="510"/>
      <c r="L179" s="511"/>
      <c r="M179" s="529"/>
      <c r="N179" s="530"/>
      <c r="O179" s="510"/>
      <c r="P179" s="510"/>
      <c r="Q179" s="511"/>
      <c r="R179" s="511"/>
      <c r="S179" s="517"/>
      <c r="T179" s="510"/>
      <c r="U179" s="528"/>
    </row>
    <row r="180" spans="1:21">
      <c r="A180" s="479"/>
      <c r="B180" s="4"/>
      <c r="C180" s="536"/>
      <c r="D180" s="537"/>
      <c r="E180" s="537"/>
      <c r="F180" s="537"/>
      <c r="G180" s="537"/>
      <c r="H180" s="538"/>
      <c r="I180" s="537"/>
      <c r="J180" s="539"/>
      <c r="K180" s="536"/>
      <c r="L180" s="537"/>
      <c r="M180" s="538"/>
      <c r="N180" s="540"/>
      <c r="O180" s="536"/>
      <c r="P180" s="536"/>
      <c r="Q180" s="537"/>
      <c r="R180" s="537"/>
      <c r="S180" s="541"/>
      <c r="T180" s="536"/>
      <c r="U180" s="542"/>
    </row>
    <row r="181" spans="1:21">
      <c r="A181" s="479"/>
      <c r="B181" s="4"/>
      <c r="C181" s="543"/>
      <c r="D181" s="544"/>
      <c r="E181" s="544"/>
      <c r="F181" s="544"/>
      <c r="G181" s="544"/>
      <c r="H181" s="545"/>
      <c r="I181" s="544"/>
      <c r="J181" s="546"/>
      <c r="K181" s="543"/>
      <c r="L181" s="547"/>
      <c r="M181" s="545"/>
      <c r="N181" s="548"/>
      <c r="O181" s="543"/>
      <c r="P181" s="543"/>
      <c r="Q181" s="547"/>
      <c r="R181" s="547"/>
      <c r="S181" s="549"/>
      <c r="T181" s="543"/>
      <c r="U181" s="550"/>
    </row>
    <row r="182" spans="1:21">
      <c r="A182" s="479"/>
      <c r="B182" s="480"/>
      <c r="C182" s="551"/>
      <c r="D182" s="552"/>
      <c r="E182" s="552"/>
      <c r="F182" s="552"/>
      <c r="G182" s="552"/>
      <c r="H182" s="529"/>
      <c r="I182" s="552"/>
      <c r="J182" s="531"/>
      <c r="K182" s="551"/>
      <c r="L182" s="552"/>
      <c r="M182" s="529"/>
      <c r="N182" s="530"/>
      <c r="O182" s="551"/>
      <c r="P182" s="551"/>
      <c r="Q182" s="552"/>
      <c r="R182" s="552"/>
      <c r="S182" s="553"/>
      <c r="T182" s="551"/>
      <c r="U182" s="554"/>
    </row>
    <row r="183" spans="1:21">
      <c r="A183" s="479"/>
      <c r="B183" s="4"/>
      <c r="C183" s="506"/>
      <c r="D183" s="508"/>
      <c r="E183" s="508"/>
      <c r="F183" s="508"/>
      <c r="G183" s="508"/>
      <c r="H183" s="508"/>
      <c r="I183" s="508"/>
      <c r="J183" s="509"/>
      <c r="K183" s="506"/>
      <c r="L183" s="507"/>
      <c r="M183" s="507"/>
      <c r="N183" s="507"/>
      <c r="O183" s="506"/>
      <c r="P183" s="506"/>
      <c r="Q183" s="507"/>
      <c r="R183" s="507"/>
      <c r="S183" s="515"/>
      <c r="T183" s="506"/>
      <c r="U183" s="527"/>
    </row>
    <row r="184" spans="1:21">
      <c r="A184" s="479"/>
      <c r="B184" s="4"/>
      <c r="C184" s="506"/>
      <c r="D184" s="508"/>
      <c r="E184" s="508"/>
      <c r="F184" s="508"/>
      <c r="G184" s="508"/>
      <c r="H184" s="508"/>
      <c r="I184" s="508"/>
      <c r="J184" s="509"/>
      <c r="K184" s="506"/>
      <c r="L184" s="507"/>
      <c r="M184" s="507"/>
      <c r="N184" s="507"/>
      <c r="O184" s="506"/>
      <c r="P184" s="506"/>
      <c r="Q184" s="507"/>
      <c r="R184" s="507"/>
      <c r="S184" s="515"/>
      <c r="T184" s="506"/>
      <c r="U184" s="527"/>
    </row>
    <row r="185" spans="1:21">
      <c r="A185" s="502"/>
      <c r="B185" s="481"/>
      <c r="C185" s="510"/>
      <c r="D185" s="512"/>
      <c r="E185" s="512"/>
      <c r="F185" s="512"/>
      <c r="G185" s="512"/>
      <c r="H185" s="529"/>
      <c r="I185" s="512"/>
      <c r="J185" s="514"/>
      <c r="K185" s="510"/>
      <c r="L185" s="511"/>
      <c r="M185" s="529"/>
      <c r="N185" s="530"/>
      <c r="O185" s="510"/>
      <c r="P185" s="510"/>
      <c r="Q185" s="511"/>
      <c r="R185" s="511"/>
      <c r="S185" s="517"/>
      <c r="T185" s="510"/>
      <c r="U185" s="528"/>
    </row>
    <row r="186" spans="1:21">
      <c r="A186" s="478"/>
      <c r="B186" s="3"/>
      <c r="C186" s="536"/>
      <c r="D186" s="537"/>
      <c r="E186" s="537"/>
      <c r="F186" s="537"/>
      <c r="G186" s="537"/>
      <c r="H186" s="538"/>
      <c r="I186" s="537"/>
      <c r="J186" s="539"/>
      <c r="K186" s="536"/>
      <c r="L186" s="537"/>
      <c r="M186" s="538"/>
      <c r="N186" s="540"/>
      <c r="O186" s="536"/>
      <c r="P186" s="536"/>
      <c r="Q186" s="537"/>
      <c r="R186" s="537"/>
      <c r="S186" s="541"/>
      <c r="T186" s="536"/>
      <c r="U186" s="542"/>
    </row>
    <row r="187" spans="1:21">
      <c r="A187" s="479"/>
      <c r="B187" s="4"/>
      <c r="C187" s="543"/>
      <c r="D187" s="544"/>
      <c r="E187" s="544"/>
      <c r="F187" s="544"/>
      <c r="G187" s="544"/>
      <c r="H187" s="545"/>
      <c r="I187" s="544"/>
      <c r="J187" s="546"/>
      <c r="K187" s="543"/>
      <c r="L187" s="547"/>
      <c r="M187" s="545"/>
      <c r="N187" s="548"/>
      <c r="O187" s="543"/>
      <c r="P187" s="543"/>
      <c r="Q187" s="547"/>
      <c r="R187" s="547"/>
      <c r="S187" s="549"/>
      <c r="T187" s="543"/>
      <c r="U187" s="550"/>
    </row>
    <row r="188" spans="1:21">
      <c r="A188" s="479"/>
      <c r="B188" s="505"/>
      <c r="C188" s="510"/>
      <c r="D188" s="512"/>
      <c r="E188" s="512"/>
      <c r="F188" s="512"/>
      <c r="G188" s="512"/>
      <c r="H188" s="529"/>
      <c r="I188" s="512"/>
      <c r="J188" s="514"/>
      <c r="K188" s="510"/>
      <c r="L188" s="511"/>
      <c r="M188" s="529"/>
      <c r="N188" s="530"/>
      <c r="O188" s="510"/>
      <c r="P188" s="510"/>
      <c r="Q188" s="511"/>
      <c r="R188" s="511"/>
      <c r="S188" s="517"/>
      <c r="T188" s="510"/>
      <c r="U188" s="528"/>
    </row>
    <row r="189" spans="1:21">
      <c r="A189" s="479"/>
      <c r="B189" s="4"/>
      <c r="C189" s="536"/>
      <c r="D189" s="537"/>
      <c r="E189" s="537"/>
      <c r="F189" s="537"/>
      <c r="G189" s="537"/>
      <c r="H189" s="538"/>
      <c r="I189" s="537"/>
      <c r="J189" s="539"/>
      <c r="K189" s="536"/>
      <c r="L189" s="537"/>
      <c r="M189" s="538"/>
      <c r="N189" s="540"/>
      <c r="O189" s="536"/>
      <c r="P189" s="536"/>
      <c r="Q189" s="537"/>
      <c r="R189" s="537"/>
      <c r="S189" s="541"/>
      <c r="T189" s="536"/>
      <c r="U189" s="542"/>
    </row>
    <row r="190" spans="1:21">
      <c r="A190" s="414"/>
      <c r="B190" s="4"/>
      <c r="C190" s="543"/>
      <c r="D190" s="544"/>
      <c r="E190" s="544"/>
      <c r="F190" s="544"/>
      <c r="G190" s="544"/>
      <c r="H190" s="545"/>
      <c r="I190" s="544"/>
      <c r="J190" s="546"/>
      <c r="K190" s="543"/>
      <c r="L190" s="547"/>
      <c r="M190" s="545"/>
      <c r="N190" s="548"/>
      <c r="O190" s="543"/>
      <c r="P190" s="543"/>
      <c r="Q190" s="547"/>
      <c r="R190" s="547"/>
      <c r="S190" s="549"/>
      <c r="T190" s="543"/>
      <c r="U190" s="550"/>
    </row>
    <row r="191" spans="1:21">
      <c r="A191" s="414"/>
      <c r="B191" s="480"/>
      <c r="C191" s="510"/>
      <c r="D191" s="512"/>
      <c r="E191" s="512"/>
      <c r="F191" s="512"/>
      <c r="G191" s="512"/>
      <c r="H191" s="529"/>
      <c r="I191" s="512"/>
      <c r="J191" s="514"/>
      <c r="K191" s="510"/>
      <c r="L191" s="511"/>
      <c r="M191" s="529"/>
      <c r="N191" s="530"/>
      <c r="O191" s="510"/>
      <c r="P191" s="510"/>
      <c r="Q191" s="511"/>
      <c r="R191" s="511"/>
      <c r="S191" s="517"/>
      <c r="T191" s="510"/>
      <c r="U191" s="528"/>
    </row>
    <row r="192" spans="1:21">
      <c r="A192" s="414"/>
      <c r="B192" s="4"/>
      <c r="C192" s="536"/>
      <c r="D192" s="537"/>
      <c r="E192" s="537"/>
      <c r="F192" s="537"/>
      <c r="G192" s="537"/>
      <c r="H192" s="538"/>
      <c r="I192" s="537"/>
      <c r="J192" s="539"/>
      <c r="K192" s="536"/>
      <c r="L192" s="537"/>
      <c r="M192" s="538"/>
      <c r="N192" s="540"/>
      <c r="O192" s="536"/>
      <c r="P192" s="536"/>
      <c r="Q192" s="537"/>
      <c r="R192" s="537"/>
      <c r="S192" s="541"/>
      <c r="T192" s="536"/>
      <c r="U192" s="542"/>
    </row>
    <row r="193" spans="1:21">
      <c r="A193" s="414"/>
      <c r="B193" s="4"/>
      <c r="C193" s="543"/>
      <c r="D193" s="544"/>
      <c r="E193" s="544"/>
      <c r="F193" s="544"/>
      <c r="G193" s="544"/>
      <c r="H193" s="545"/>
      <c r="I193" s="544"/>
      <c r="J193" s="546"/>
      <c r="K193" s="543"/>
      <c r="L193" s="547"/>
      <c r="M193" s="545"/>
      <c r="N193" s="548"/>
      <c r="O193" s="543"/>
      <c r="P193" s="543"/>
      <c r="Q193" s="547"/>
      <c r="R193" s="547"/>
      <c r="S193" s="549"/>
      <c r="T193" s="543"/>
      <c r="U193" s="550"/>
    </row>
    <row r="194" spans="1:21">
      <c r="A194" s="414"/>
      <c r="B194" s="480"/>
      <c r="C194" s="510"/>
      <c r="D194" s="512"/>
      <c r="E194" s="512"/>
      <c r="F194" s="512"/>
      <c r="G194" s="512"/>
      <c r="H194" s="529"/>
      <c r="I194" s="512"/>
      <c r="J194" s="514"/>
      <c r="K194" s="510"/>
      <c r="L194" s="511"/>
      <c r="M194" s="529"/>
      <c r="N194" s="530"/>
      <c r="O194" s="510"/>
      <c r="P194" s="510"/>
      <c r="Q194" s="511"/>
      <c r="R194" s="511"/>
      <c r="S194" s="517"/>
      <c r="T194" s="510"/>
      <c r="U194" s="528"/>
    </row>
    <row r="195" spans="1:21">
      <c r="A195" s="414"/>
      <c r="B195" s="4"/>
      <c r="C195" s="536"/>
      <c r="D195" s="537"/>
      <c r="E195" s="537"/>
      <c r="F195" s="537"/>
      <c r="G195" s="537"/>
      <c r="H195" s="538"/>
      <c r="I195" s="537"/>
      <c r="J195" s="539"/>
      <c r="K195" s="536"/>
      <c r="L195" s="537"/>
      <c r="M195" s="538"/>
      <c r="N195" s="540"/>
      <c r="O195" s="536"/>
      <c r="P195" s="536"/>
      <c r="Q195" s="537"/>
      <c r="R195" s="537"/>
      <c r="S195" s="541"/>
      <c r="T195" s="536"/>
      <c r="U195" s="542"/>
    </row>
    <row r="196" spans="1:21">
      <c r="A196" s="414"/>
      <c r="B196" s="4"/>
      <c r="C196" s="543"/>
      <c r="D196" s="544"/>
      <c r="E196" s="544"/>
      <c r="F196" s="544"/>
      <c r="G196" s="544"/>
      <c r="H196" s="545"/>
      <c r="I196" s="544"/>
      <c r="J196" s="546"/>
      <c r="K196" s="543"/>
      <c r="L196" s="547"/>
      <c r="M196" s="545"/>
      <c r="N196" s="548"/>
      <c r="O196" s="543"/>
      <c r="P196" s="543"/>
      <c r="Q196" s="547"/>
      <c r="R196" s="547"/>
      <c r="S196" s="549"/>
      <c r="T196" s="543"/>
      <c r="U196" s="550"/>
    </row>
    <row r="197" spans="1:21">
      <c r="A197" s="414"/>
      <c r="B197" s="480"/>
      <c r="C197" s="510"/>
      <c r="D197" s="512"/>
      <c r="E197" s="512"/>
      <c r="F197" s="512"/>
      <c r="G197" s="512"/>
      <c r="H197" s="529"/>
      <c r="I197" s="512"/>
      <c r="J197" s="514"/>
      <c r="K197" s="510"/>
      <c r="L197" s="511"/>
      <c r="M197" s="529"/>
      <c r="N197" s="530"/>
      <c r="O197" s="510"/>
      <c r="P197" s="510"/>
      <c r="Q197" s="511"/>
      <c r="R197" s="511"/>
      <c r="S197" s="517"/>
      <c r="T197" s="510"/>
      <c r="U197" s="528"/>
    </row>
    <row r="198" spans="1:21">
      <c r="A198" s="479"/>
      <c r="B198" s="4"/>
      <c r="C198" s="536"/>
      <c r="D198" s="537"/>
      <c r="E198" s="537"/>
      <c r="F198" s="537"/>
      <c r="G198" s="537"/>
      <c r="H198" s="538"/>
      <c r="I198" s="537"/>
      <c r="J198" s="539"/>
      <c r="K198" s="536"/>
      <c r="L198" s="537"/>
      <c r="M198" s="538"/>
      <c r="N198" s="540"/>
      <c r="O198" s="536"/>
      <c r="P198" s="536"/>
      <c r="Q198" s="537"/>
      <c r="R198" s="537"/>
      <c r="S198" s="541"/>
      <c r="T198" s="536"/>
      <c r="U198" s="542"/>
    </row>
    <row r="199" spans="1:21">
      <c r="A199" s="479"/>
      <c r="B199" s="4"/>
      <c r="C199" s="543"/>
      <c r="D199" s="544"/>
      <c r="E199" s="544"/>
      <c r="F199" s="544"/>
      <c r="G199" s="544"/>
      <c r="H199" s="545"/>
      <c r="I199" s="544"/>
      <c r="J199" s="546"/>
      <c r="K199" s="543"/>
      <c r="L199" s="547"/>
      <c r="M199" s="545"/>
      <c r="N199" s="548"/>
      <c r="O199" s="543"/>
      <c r="P199" s="543"/>
      <c r="Q199" s="547"/>
      <c r="R199" s="547"/>
      <c r="S199" s="549"/>
      <c r="T199" s="543"/>
      <c r="U199" s="550"/>
    </row>
    <row r="200" spans="1:21">
      <c r="A200" s="479"/>
      <c r="B200" s="480"/>
      <c r="C200" s="510"/>
      <c r="D200" s="512"/>
      <c r="E200" s="512"/>
      <c r="F200" s="512"/>
      <c r="G200" s="512"/>
      <c r="H200" s="529"/>
      <c r="I200" s="512"/>
      <c r="J200" s="514"/>
      <c r="K200" s="510"/>
      <c r="L200" s="511"/>
      <c r="M200" s="529"/>
      <c r="N200" s="530"/>
      <c r="O200" s="510"/>
      <c r="P200" s="510"/>
      <c r="Q200" s="511"/>
      <c r="R200" s="511"/>
      <c r="S200" s="517"/>
      <c r="T200" s="510"/>
      <c r="U200" s="528"/>
    </row>
    <row r="201" spans="1:21">
      <c r="A201" s="479"/>
      <c r="B201" s="4"/>
      <c r="C201" s="536"/>
      <c r="D201" s="537"/>
      <c r="E201" s="537"/>
      <c r="F201" s="537"/>
      <c r="G201" s="537"/>
      <c r="H201" s="538"/>
      <c r="I201" s="537"/>
      <c r="J201" s="539"/>
      <c r="K201" s="536"/>
      <c r="L201" s="537"/>
      <c r="M201" s="538"/>
      <c r="N201" s="540"/>
      <c r="O201" s="536"/>
      <c r="P201" s="536"/>
      <c r="Q201" s="537"/>
      <c r="R201" s="537"/>
      <c r="S201" s="541"/>
      <c r="T201" s="536"/>
      <c r="U201" s="542"/>
    </row>
    <row r="202" spans="1:21">
      <c r="A202" s="479"/>
      <c r="B202" s="4"/>
      <c r="C202" s="543"/>
      <c r="D202" s="544"/>
      <c r="E202" s="544"/>
      <c r="F202" s="544"/>
      <c r="G202" s="544"/>
      <c r="H202" s="545"/>
      <c r="I202" s="544"/>
      <c r="J202" s="546"/>
      <c r="K202" s="543"/>
      <c r="L202" s="547"/>
      <c r="M202" s="545"/>
      <c r="N202" s="548"/>
      <c r="O202" s="543"/>
      <c r="P202" s="543"/>
      <c r="Q202" s="547"/>
      <c r="R202" s="547"/>
      <c r="S202" s="549"/>
      <c r="T202" s="543"/>
      <c r="U202" s="550"/>
    </row>
    <row r="203" spans="1:21">
      <c r="A203" s="479"/>
      <c r="B203" s="480"/>
      <c r="C203" s="510"/>
      <c r="D203" s="512"/>
      <c r="E203" s="512"/>
      <c r="F203" s="512"/>
      <c r="G203" s="512"/>
      <c r="H203" s="529"/>
      <c r="I203" s="512"/>
      <c r="J203" s="514"/>
      <c r="K203" s="510"/>
      <c r="L203" s="511"/>
      <c r="M203" s="529"/>
      <c r="N203" s="530"/>
      <c r="O203" s="510"/>
      <c r="P203" s="510"/>
      <c r="Q203" s="511"/>
      <c r="R203" s="511"/>
      <c r="S203" s="517"/>
      <c r="T203" s="510"/>
      <c r="U203" s="528"/>
    </row>
    <row r="204" spans="1:21">
      <c r="A204" s="479"/>
      <c r="B204" s="4"/>
      <c r="C204" s="536"/>
      <c r="D204" s="537"/>
      <c r="E204" s="537"/>
      <c r="F204" s="537"/>
      <c r="G204" s="537"/>
      <c r="H204" s="538"/>
      <c r="I204" s="537"/>
      <c r="J204" s="539"/>
      <c r="K204" s="536"/>
      <c r="L204" s="537"/>
      <c r="M204" s="538"/>
      <c r="N204" s="540"/>
      <c r="O204" s="536"/>
      <c r="P204" s="536"/>
      <c r="Q204" s="537"/>
      <c r="R204" s="537"/>
      <c r="S204" s="541"/>
      <c r="T204" s="536"/>
      <c r="U204" s="542"/>
    </row>
    <row r="205" spans="1:21">
      <c r="A205" s="479"/>
      <c r="B205" s="4"/>
      <c r="C205" s="543"/>
      <c r="D205" s="544"/>
      <c r="E205" s="544"/>
      <c r="F205" s="544"/>
      <c r="G205" s="544"/>
      <c r="H205" s="545"/>
      <c r="I205" s="544"/>
      <c r="J205" s="546"/>
      <c r="K205" s="543"/>
      <c r="L205" s="547"/>
      <c r="M205" s="545"/>
      <c r="N205" s="548"/>
      <c r="O205" s="543"/>
      <c r="P205" s="543"/>
      <c r="Q205" s="547"/>
      <c r="R205" s="547"/>
      <c r="S205" s="549"/>
      <c r="T205" s="543"/>
      <c r="U205" s="550"/>
    </row>
    <row r="206" spans="1:21">
      <c r="A206" s="479"/>
      <c r="B206" s="480"/>
      <c r="C206" s="510"/>
      <c r="D206" s="512"/>
      <c r="E206" s="512"/>
      <c r="F206" s="512"/>
      <c r="G206" s="512"/>
      <c r="H206" s="529"/>
      <c r="I206" s="512"/>
      <c r="J206" s="514"/>
      <c r="K206" s="510"/>
      <c r="L206" s="511"/>
      <c r="M206" s="529"/>
      <c r="N206" s="530"/>
      <c r="O206" s="510"/>
      <c r="P206" s="510"/>
      <c r="Q206" s="511"/>
      <c r="R206" s="511"/>
      <c r="S206" s="517"/>
      <c r="T206" s="510"/>
      <c r="U206" s="528"/>
    </row>
    <row r="207" spans="1:21">
      <c r="A207" s="479"/>
      <c r="B207" s="4"/>
      <c r="C207" s="536"/>
      <c r="D207" s="537"/>
      <c r="E207" s="537"/>
      <c r="F207" s="537"/>
      <c r="G207" s="537"/>
      <c r="H207" s="538"/>
      <c r="I207" s="537"/>
      <c r="J207" s="539"/>
      <c r="K207" s="536"/>
      <c r="L207" s="537"/>
      <c r="M207" s="538"/>
      <c r="N207" s="540"/>
      <c r="O207" s="536"/>
      <c r="P207" s="536"/>
      <c r="Q207" s="537"/>
      <c r="R207" s="537"/>
      <c r="S207" s="541"/>
      <c r="T207" s="536"/>
      <c r="U207" s="542"/>
    </row>
    <row r="208" spans="1:21">
      <c r="A208" s="479"/>
      <c r="B208" s="4"/>
      <c r="C208" s="543"/>
      <c r="D208" s="544"/>
      <c r="E208" s="544"/>
      <c r="F208" s="544"/>
      <c r="G208" s="544"/>
      <c r="H208" s="545"/>
      <c r="I208" s="544"/>
      <c r="J208" s="546"/>
      <c r="K208" s="543"/>
      <c r="L208" s="547"/>
      <c r="M208" s="545"/>
      <c r="N208" s="548"/>
      <c r="O208" s="543"/>
      <c r="P208" s="543"/>
      <c r="Q208" s="547"/>
      <c r="R208" s="547"/>
      <c r="S208" s="549"/>
      <c r="T208" s="543"/>
      <c r="U208" s="550"/>
    </row>
    <row r="209" spans="1:21">
      <c r="A209" s="479"/>
      <c r="B209" s="480"/>
      <c r="C209" s="510"/>
      <c r="D209" s="512"/>
      <c r="E209" s="512"/>
      <c r="F209" s="512"/>
      <c r="G209" s="512"/>
      <c r="H209" s="529"/>
      <c r="I209" s="512"/>
      <c r="J209" s="514"/>
      <c r="K209" s="510"/>
      <c r="L209" s="511"/>
      <c r="M209" s="529"/>
      <c r="N209" s="530"/>
      <c r="O209" s="510"/>
      <c r="P209" s="510"/>
      <c r="Q209" s="511"/>
      <c r="R209" s="511"/>
      <c r="S209" s="517"/>
      <c r="T209" s="510"/>
      <c r="U209" s="528"/>
    </row>
    <row r="210" spans="1:21">
      <c r="A210" s="479"/>
      <c r="B210" s="4"/>
      <c r="C210" s="536"/>
      <c r="D210" s="537"/>
      <c r="E210" s="537"/>
      <c r="F210" s="537"/>
      <c r="G210" s="537"/>
      <c r="H210" s="538"/>
      <c r="I210" s="537"/>
      <c r="J210" s="539"/>
      <c r="K210" s="536"/>
      <c r="L210" s="537"/>
      <c r="M210" s="538"/>
      <c r="N210" s="540"/>
      <c r="O210" s="536"/>
      <c r="P210" s="536"/>
      <c r="Q210" s="537"/>
      <c r="R210" s="537"/>
      <c r="S210" s="541"/>
      <c r="T210" s="536"/>
      <c r="U210" s="542"/>
    </row>
    <row r="211" spans="1:21">
      <c r="A211" s="479"/>
      <c r="B211" s="4"/>
      <c r="C211" s="543"/>
      <c r="D211" s="544"/>
      <c r="E211" s="544"/>
      <c r="F211" s="544"/>
      <c r="G211" s="544"/>
      <c r="H211" s="545"/>
      <c r="I211" s="544"/>
      <c r="J211" s="546"/>
      <c r="K211" s="543"/>
      <c r="L211" s="547"/>
      <c r="M211" s="545"/>
      <c r="N211" s="548"/>
      <c r="O211" s="543"/>
      <c r="P211" s="543"/>
      <c r="Q211" s="547"/>
      <c r="R211" s="547"/>
      <c r="S211" s="549"/>
      <c r="T211" s="543"/>
      <c r="U211" s="550"/>
    </row>
    <row r="212" spans="1:21">
      <c r="A212" s="479"/>
      <c r="B212" s="480"/>
      <c r="C212" s="510"/>
      <c r="D212" s="512"/>
      <c r="E212" s="512"/>
      <c r="F212" s="512"/>
      <c r="G212" s="512"/>
      <c r="H212" s="529"/>
      <c r="I212" s="512"/>
      <c r="J212" s="514"/>
      <c r="K212" s="510"/>
      <c r="L212" s="511"/>
      <c r="M212" s="529"/>
      <c r="N212" s="530"/>
      <c r="O212" s="510"/>
      <c r="P212" s="510"/>
      <c r="Q212" s="511"/>
      <c r="R212" s="511"/>
      <c r="S212" s="517"/>
      <c r="T212" s="510"/>
      <c r="U212" s="528"/>
    </row>
    <row r="213" spans="1:21">
      <c r="A213" s="479"/>
      <c r="B213" s="4"/>
      <c r="C213" s="536"/>
      <c r="D213" s="537"/>
      <c r="E213" s="537"/>
      <c r="F213" s="537"/>
      <c r="G213" s="537"/>
      <c r="H213" s="538"/>
      <c r="I213" s="537"/>
      <c r="J213" s="539"/>
      <c r="K213" s="536"/>
      <c r="L213" s="537"/>
      <c r="M213" s="538"/>
      <c r="N213" s="540"/>
      <c r="O213" s="536"/>
      <c r="P213" s="536"/>
      <c r="Q213" s="537"/>
      <c r="R213" s="537"/>
      <c r="S213" s="541"/>
      <c r="T213" s="536"/>
      <c r="U213" s="542"/>
    </row>
    <row r="214" spans="1:21">
      <c r="A214" s="479"/>
      <c r="B214" s="4"/>
      <c r="C214" s="543"/>
      <c r="D214" s="544"/>
      <c r="E214" s="544"/>
      <c r="F214" s="544"/>
      <c r="G214" s="544"/>
      <c r="H214" s="545"/>
      <c r="I214" s="544"/>
      <c r="J214" s="546"/>
      <c r="K214" s="543"/>
      <c r="L214" s="547"/>
      <c r="M214" s="545"/>
      <c r="N214" s="548"/>
      <c r="O214" s="543"/>
      <c r="P214" s="543"/>
      <c r="Q214" s="547"/>
      <c r="R214" s="547"/>
      <c r="S214" s="549"/>
      <c r="T214" s="543"/>
      <c r="U214" s="550"/>
    </row>
    <row r="215" spans="1:21">
      <c r="A215" s="479"/>
      <c r="B215" s="480"/>
      <c r="C215" s="510"/>
      <c r="D215" s="512"/>
      <c r="E215" s="512"/>
      <c r="F215" s="512"/>
      <c r="G215" s="512"/>
      <c r="H215" s="529"/>
      <c r="I215" s="512"/>
      <c r="J215" s="514"/>
      <c r="K215" s="510"/>
      <c r="L215" s="511"/>
      <c r="M215" s="529"/>
      <c r="N215" s="530"/>
      <c r="O215" s="510"/>
      <c r="P215" s="510"/>
      <c r="Q215" s="511"/>
      <c r="R215" s="511"/>
      <c r="S215" s="517"/>
      <c r="T215" s="510"/>
      <c r="U215" s="528"/>
    </row>
    <row r="216" spans="1:21">
      <c r="A216" s="479"/>
      <c r="B216" s="4"/>
      <c r="C216" s="536"/>
      <c r="D216" s="537"/>
      <c r="E216" s="537"/>
      <c r="F216" s="537"/>
      <c r="G216" s="537"/>
      <c r="H216" s="538"/>
      <c r="I216" s="537"/>
      <c r="J216" s="539"/>
      <c r="K216" s="536"/>
      <c r="L216" s="537"/>
      <c r="M216" s="538"/>
      <c r="N216" s="540"/>
      <c r="O216" s="536"/>
      <c r="P216" s="536"/>
      <c r="Q216" s="537"/>
      <c r="R216" s="537"/>
      <c r="S216" s="541"/>
      <c r="T216" s="536"/>
      <c r="U216" s="542"/>
    </row>
    <row r="217" spans="1:21">
      <c r="A217" s="479"/>
      <c r="B217" s="4"/>
      <c r="C217" s="543"/>
      <c r="D217" s="544"/>
      <c r="E217" s="544"/>
      <c r="F217" s="544"/>
      <c r="G217" s="544"/>
      <c r="H217" s="545"/>
      <c r="I217" s="544"/>
      <c r="J217" s="546"/>
      <c r="K217" s="543"/>
      <c r="L217" s="547"/>
      <c r="M217" s="545"/>
      <c r="N217" s="548"/>
      <c r="O217" s="543"/>
      <c r="P217" s="543"/>
      <c r="Q217" s="547"/>
      <c r="R217" s="547"/>
      <c r="S217" s="549"/>
      <c r="T217" s="543"/>
      <c r="U217" s="550"/>
    </row>
    <row r="218" spans="1:21">
      <c r="A218" s="479"/>
      <c r="B218" s="480"/>
      <c r="C218" s="551"/>
      <c r="D218" s="552"/>
      <c r="E218" s="552"/>
      <c r="F218" s="552"/>
      <c r="G218" s="552"/>
      <c r="H218" s="529"/>
      <c r="I218" s="552"/>
      <c r="J218" s="531"/>
      <c r="K218" s="551"/>
      <c r="L218" s="552"/>
      <c r="M218" s="529"/>
      <c r="N218" s="530"/>
      <c r="O218" s="551"/>
      <c r="P218" s="551"/>
      <c r="Q218" s="552"/>
      <c r="R218" s="552"/>
      <c r="S218" s="553"/>
      <c r="T218" s="551"/>
      <c r="U218" s="554"/>
    </row>
    <row r="219" spans="1:21">
      <c r="A219" s="479"/>
      <c r="B219" s="4"/>
      <c r="C219" s="506"/>
      <c r="D219" s="508"/>
      <c r="E219" s="508"/>
      <c r="F219" s="508"/>
      <c r="G219" s="508"/>
      <c r="H219" s="508"/>
      <c r="I219" s="508"/>
      <c r="J219" s="509"/>
      <c r="K219" s="506"/>
      <c r="L219" s="507"/>
      <c r="M219" s="507"/>
      <c r="N219" s="507"/>
      <c r="O219" s="506"/>
      <c r="P219" s="506"/>
      <c r="Q219" s="507"/>
      <c r="R219" s="507"/>
      <c r="S219" s="515"/>
      <c r="T219" s="506"/>
      <c r="U219" s="527"/>
    </row>
    <row r="220" spans="1:21">
      <c r="A220" s="479"/>
      <c r="B220" s="4"/>
      <c r="C220" s="506"/>
      <c r="D220" s="508"/>
      <c r="E220" s="508"/>
      <c r="F220" s="508"/>
      <c r="G220" s="508"/>
      <c r="H220" s="508"/>
      <c r="I220" s="508"/>
      <c r="J220" s="509"/>
      <c r="K220" s="506"/>
      <c r="L220" s="507"/>
      <c r="M220" s="507"/>
      <c r="N220" s="507"/>
      <c r="O220" s="506"/>
      <c r="P220" s="506"/>
      <c r="Q220" s="507"/>
      <c r="R220" s="507"/>
      <c r="S220" s="515"/>
      <c r="T220" s="506"/>
      <c r="U220" s="527"/>
    </row>
    <row r="221" spans="1:21">
      <c r="A221" s="502"/>
      <c r="B221" s="481"/>
      <c r="C221" s="510"/>
      <c r="D221" s="512"/>
      <c r="E221" s="512"/>
      <c r="F221" s="512"/>
      <c r="G221" s="512"/>
      <c r="H221" s="529"/>
      <c r="I221" s="512"/>
      <c r="J221" s="514"/>
      <c r="K221" s="510"/>
      <c r="L221" s="511"/>
      <c r="M221" s="529"/>
      <c r="N221" s="530"/>
      <c r="O221" s="510"/>
      <c r="P221" s="510"/>
      <c r="Q221" s="511"/>
      <c r="R221" s="511"/>
      <c r="S221" s="517"/>
      <c r="T221" s="510"/>
      <c r="U221" s="528"/>
    </row>
    <row r="222" spans="1:21">
      <c r="A222" s="478"/>
      <c r="B222" s="3"/>
      <c r="C222" s="536"/>
      <c r="D222" s="537"/>
      <c r="E222" s="537"/>
      <c r="F222" s="537"/>
      <c r="G222" s="537"/>
      <c r="H222" s="538"/>
      <c r="I222" s="537"/>
      <c r="J222" s="539"/>
      <c r="K222" s="536"/>
      <c r="L222" s="537"/>
      <c r="M222" s="538"/>
      <c r="N222" s="540"/>
      <c r="O222" s="536"/>
      <c r="P222" s="536"/>
      <c r="Q222" s="537"/>
      <c r="R222" s="537"/>
      <c r="S222" s="541"/>
      <c r="T222" s="536"/>
      <c r="U222" s="542"/>
    </row>
    <row r="223" spans="1:21">
      <c r="A223" s="479"/>
      <c r="B223" s="4"/>
      <c r="C223" s="543"/>
      <c r="D223" s="544"/>
      <c r="E223" s="544"/>
      <c r="F223" s="544"/>
      <c r="G223" s="544"/>
      <c r="H223" s="545"/>
      <c r="I223" s="544"/>
      <c r="J223" s="546"/>
      <c r="K223" s="543"/>
      <c r="L223" s="547"/>
      <c r="M223" s="545"/>
      <c r="N223" s="548"/>
      <c r="O223" s="543"/>
      <c r="P223" s="543"/>
      <c r="Q223" s="547"/>
      <c r="R223" s="547"/>
      <c r="S223" s="549"/>
      <c r="T223" s="543"/>
      <c r="U223" s="550"/>
    </row>
    <row r="224" spans="1:21">
      <c r="A224" s="479"/>
      <c r="B224" s="505"/>
      <c r="C224" s="510"/>
      <c r="D224" s="512"/>
      <c r="E224" s="512"/>
      <c r="F224" s="512"/>
      <c r="G224" s="512"/>
      <c r="H224" s="529"/>
      <c r="I224" s="512"/>
      <c r="J224" s="514"/>
      <c r="K224" s="510"/>
      <c r="L224" s="511"/>
      <c r="M224" s="529"/>
      <c r="N224" s="530"/>
      <c r="O224" s="510"/>
      <c r="P224" s="510"/>
      <c r="Q224" s="511"/>
      <c r="R224" s="511"/>
      <c r="S224" s="517"/>
      <c r="T224" s="510"/>
      <c r="U224" s="528"/>
    </row>
    <row r="225" spans="1:21">
      <c r="A225" s="479"/>
      <c r="B225" s="4"/>
      <c r="C225" s="536"/>
      <c r="D225" s="537"/>
      <c r="E225" s="537"/>
      <c r="F225" s="537"/>
      <c r="G225" s="537"/>
      <c r="H225" s="538"/>
      <c r="I225" s="537"/>
      <c r="J225" s="539"/>
      <c r="K225" s="536"/>
      <c r="L225" s="537"/>
      <c r="M225" s="538"/>
      <c r="N225" s="540"/>
      <c r="O225" s="536"/>
      <c r="P225" s="536"/>
      <c r="Q225" s="537"/>
      <c r="R225" s="537"/>
      <c r="S225" s="541"/>
      <c r="T225" s="536"/>
      <c r="U225" s="542"/>
    </row>
    <row r="226" spans="1:21">
      <c r="A226" s="414"/>
      <c r="B226" s="4"/>
      <c r="C226" s="543"/>
      <c r="D226" s="544"/>
      <c r="E226" s="544"/>
      <c r="F226" s="544"/>
      <c r="G226" s="544"/>
      <c r="H226" s="545"/>
      <c r="I226" s="544"/>
      <c r="J226" s="546"/>
      <c r="K226" s="543"/>
      <c r="L226" s="547"/>
      <c r="M226" s="545"/>
      <c r="N226" s="548"/>
      <c r="O226" s="543"/>
      <c r="P226" s="543"/>
      <c r="Q226" s="547"/>
      <c r="R226" s="547"/>
      <c r="S226" s="549"/>
      <c r="T226" s="543"/>
      <c r="U226" s="550"/>
    </row>
    <row r="227" spans="1:21">
      <c r="A227" s="414"/>
      <c r="B227" s="480"/>
      <c r="C227" s="510"/>
      <c r="D227" s="512"/>
      <c r="E227" s="512"/>
      <c r="F227" s="512"/>
      <c r="G227" s="512"/>
      <c r="H227" s="529"/>
      <c r="I227" s="512"/>
      <c r="J227" s="514"/>
      <c r="K227" s="510"/>
      <c r="L227" s="511"/>
      <c r="M227" s="529"/>
      <c r="N227" s="530"/>
      <c r="O227" s="510"/>
      <c r="P227" s="510"/>
      <c r="Q227" s="511"/>
      <c r="R227" s="511"/>
      <c r="S227" s="517"/>
      <c r="T227" s="510"/>
      <c r="U227" s="528"/>
    </row>
    <row r="228" spans="1:21">
      <c r="A228" s="414"/>
      <c r="B228" s="4"/>
      <c r="C228" s="536"/>
      <c r="D228" s="537"/>
      <c r="E228" s="537"/>
      <c r="F228" s="537"/>
      <c r="G228" s="537"/>
      <c r="H228" s="538"/>
      <c r="I228" s="537"/>
      <c r="J228" s="539"/>
      <c r="K228" s="536"/>
      <c r="L228" s="537"/>
      <c r="M228" s="538"/>
      <c r="N228" s="540"/>
      <c r="O228" s="536"/>
      <c r="P228" s="536"/>
      <c r="Q228" s="537"/>
      <c r="R228" s="537"/>
      <c r="S228" s="541"/>
      <c r="T228" s="536"/>
      <c r="U228" s="542"/>
    </row>
    <row r="229" spans="1:21">
      <c r="A229" s="414"/>
      <c r="B229" s="4"/>
      <c r="C229" s="543"/>
      <c r="D229" s="544"/>
      <c r="E229" s="544"/>
      <c r="F229" s="544"/>
      <c r="G229" s="544"/>
      <c r="H229" s="545"/>
      <c r="I229" s="544"/>
      <c r="J229" s="546"/>
      <c r="K229" s="543"/>
      <c r="L229" s="547"/>
      <c r="M229" s="545"/>
      <c r="N229" s="548"/>
      <c r="O229" s="543"/>
      <c r="P229" s="543"/>
      <c r="Q229" s="547"/>
      <c r="R229" s="547"/>
      <c r="S229" s="549"/>
      <c r="T229" s="543"/>
      <c r="U229" s="550"/>
    </row>
    <row r="230" spans="1:21">
      <c r="A230" s="414"/>
      <c r="B230" s="480"/>
      <c r="C230" s="510"/>
      <c r="D230" s="512"/>
      <c r="E230" s="512"/>
      <c r="F230" s="512"/>
      <c r="G230" s="512"/>
      <c r="H230" s="529"/>
      <c r="I230" s="512"/>
      <c r="J230" s="514"/>
      <c r="K230" s="510"/>
      <c r="L230" s="511"/>
      <c r="M230" s="529"/>
      <c r="N230" s="530"/>
      <c r="O230" s="510"/>
      <c r="P230" s="510"/>
      <c r="Q230" s="511"/>
      <c r="R230" s="511"/>
      <c r="S230" s="517"/>
      <c r="T230" s="510"/>
      <c r="U230" s="528"/>
    </row>
    <row r="231" spans="1:21">
      <c r="A231" s="414"/>
      <c r="B231" s="4"/>
      <c r="C231" s="536"/>
      <c r="D231" s="537"/>
      <c r="E231" s="537"/>
      <c r="F231" s="537"/>
      <c r="G231" s="537"/>
      <c r="H231" s="538"/>
      <c r="I231" s="537"/>
      <c r="J231" s="539"/>
      <c r="K231" s="536"/>
      <c r="L231" s="537"/>
      <c r="M231" s="538"/>
      <c r="N231" s="540"/>
      <c r="O231" s="536"/>
      <c r="P231" s="536"/>
      <c r="Q231" s="537"/>
      <c r="R231" s="537"/>
      <c r="S231" s="541"/>
      <c r="T231" s="536"/>
      <c r="U231" s="542"/>
    </row>
    <row r="232" spans="1:21">
      <c r="A232" s="414"/>
      <c r="B232" s="4"/>
      <c r="C232" s="543"/>
      <c r="D232" s="544"/>
      <c r="E232" s="544"/>
      <c r="F232" s="544"/>
      <c r="G232" s="544"/>
      <c r="H232" s="545"/>
      <c r="I232" s="544"/>
      <c r="J232" s="546"/>
      <c r="K232" s="543"/>
      <c r="L232" s="547"/>
      <c r="M232" s="545"/>
      <c r="N232" s="548"/>
      <c r="O232" s="543"/>
      <c r="P232" s="543"/>
      <c r="Q232" s="547"/>
      <c r="R232" s="547"/>
      <c r="S232" s="549"/>
      <c r="T232" s="543"/>
      <c r="U232" s="550"/>
    </row>
    <row r="233" spans="1:21">
      <c r="A233" s="414"/>
      <c r="B233" s="480"/>
      <c r="C233" s="510"/>
      <c r="D233" s="512"/>
      <c r="E233" s="512"/>
      <c r="F233" s="512"/>
      <c r="G233" s="512"/>
      <c r="H233" s="529"/>
      <c r="I233" s="512"/>
      <c r="J233" s="514"/>
      <c r="K233" s="510"/>
      <c r="L233" s="511"/>
      <c r="M233" s="529"/>
      <c r="N233" s="530"/>
      <c r="O233" s="510"/>
      <c r="P233" s="510"/>
      <c r="Q233" s="511"/>
      <c r="R233" s="511"/>
      <c r="S233" s="517"/>
      <c r="T233" s="510"/>
      <c r="U233" s="528"/>
    </row>
    <row r="234" spans="1:21">
      <c r="A234" s="479"/>
      <c r="B234" s="4"/>
      <c r="C234" s="536"/>
      <c r="D234" s="537"/>
      <c r="E234" s="537"/>
      <c r="F234" s="537"/>
      <c r="G234" s="537"/>
      <c r="H234" s="538"/>
      <c r="I234" s="537"/>
      <c r="J234" s="539"/>
      <c r="K234" s="536"/>
      <c r="L234" s="537"/>
      <c r="M234" s="538"/>
      <c r="N234" s="540"/>
      <c r="O234" s="536"/>
      <c r="P234" s="536"/>
      <c r="Q234" s="537"/>
      <c r="R234" s="537"/>
      <c r="S234" s="541"/>
      <c r="T234" s="536"/>
      <c r="U234" s="542"/>
    </row>
    <row r="235" spans="1:21">
      <c r="A235" s="479"/>
      <c r="B235" s="4"/>
      <c r="C235" s="543"/>
      <c r="D235" s="544"/>
      <c r="E235" s="544"/>
      <c r="F235" s="544"/>
      <c r="G235" s="544"/>
      <c r="H235" s="545"/>
      <c r="I235" s="544"/>
      <c r="J235" s="546"/>
      <c r="K235" s="543"/>
      <c r="L235" s="547"/>
      <c r="M235" s="545"/>
      <c r="N235" s="548"/>
      <c r="O235" s="543"/>
      <c r="P235" s="543"/>
      <c r="Q235" s="547"/>
      <c r="R235" s="547"/>
      <c r="S235" s="549"/>
      <c r="T235" s="543"/>
      <c r="U235" s="550"/>
    </row>
    <row r="236" spans="1:21">
      <c r="A236" s="479"/>
      <c r="B236" s="480"/>
      <c r="C236" s="510"/>
      <c r="D236" s="512"/>
      <c r="E236" s="512"/>
      <c r="F236" s="512"/>
      <c r="G236" s="512"/>
      <c r="H236" s="529"/>
      <c r="I236" s="512"/>
      <c r="J236" s="514"/>
      <c r="K236" s="510"/>
      <c r="L236" s="511"/>
      <c r="M236" s="529"/>
      <c r="N236" s="530"/>
      <c r="O236" s="510"/>
      <c r="P236" s="510"/>
      <c r="Q236" s="511"/>
      <c r="R236" s="511"/>
      <c r="S236" s="517"/>
      <c r="T236" s="510"/>
      <c r="U236" s="528"/>
    </row>
    <row r="237" spans="1:21">
      <c r="A237" s="479"/>
      <c r="B237" s="4"/>
      <c r="C237" s="536"/>
      <c r="D237" s="537"/>
      <c r="E237" s="537"/>
      <c r="F237" s="537"/>
      <c r="G237" s="537"/>
      <c r="H237" s="538"/>
      <c r="I237" s="537"/>
      <c r="J237" s="539"/>
      <c r="K237" s="536"/>
      <c r="L237" s="537"/>
      <c r="M237" s="538"/>
      <c r="N237" s="540"/>
      <c r="O237" s="536"/>
      <c r="P237" s="536"/>
      <c r="Q237" s="537"/>
      <c r="R237" s="537"/>
      <c r="S237" s="541"/>
      <c r="T237" s="536"/>
      <c r="U237" s="542"/>
    </row>
    <row r="238" spans="1:21">
      <c r="A238" s="479"/>
      <c r="B238" s="4"/>
      <c r="C238" s="543"/>
      <c r="D238" s="544"/>
      <c r="E238" s="544"/>
      <c r="F238" s="544"/>
      <c r="G238" s="544"/>
      <c r="H238" s="545"/>
      <c r="I238" s="544"/>
      <c r="J238" s="546"/>
      <c r="K238" s="543"/>
      <c r="L238" s="547"/>
      <c r="M238" s="545"/>
      <c r="N238" s="548"/>
      <c r="O238" s="543"/>
      <c r="P238" s="543"/>
      <c r="Q238" s="547"/>
      <c r="R238" s="547"/>
      <c r="S238" s="549"/>
      <c r="T238" s="543"/>
      <c r="U238" s="550"/>
    </row>
    <row r="239" spans="1:21">
      <c r="A239" s="479"/>
      <c r="B239" s="480"/>
      <c r="C239" s="510"/>
      <c r="D239" s="512"/>
      <c r="E239" s="512"/>
      <c r="F239" s="512"/>
      <c r="G239" s="512"/>
      <c r="H239" s="529"/>
      <c r="I239" s="512"/>
      <c r="J239" s="514"/>
      <c r="K239" s="510"/>
      <c r="L239" s="511"/>
      <c r="M239" s="529"/>
      <c r="N239" s="530"/>
      <c r="O239" s="510"/>
      <c r="P239" s="510"/>
      <c r="Q239" s="511"/>
      <c r="R239" s="511"/>
      <c r="S239" s="517"/>
      <c r="T239" s="510"/>
      <c r="U239" s="528"/>
    </row>
    <row r="240" spans="1:21">
      <c r="A240" s="479"/>
      <c r="B240" s="4"/>
      <c r="C240" s="536"/>
      <c r="D240" s="537"/>
      <c r="E240" s="537"/>
      <c r="F240" s="537"/>
      <c r="G240" s="537"/>
      <c r="H240" s="538"/>
      <c r="I240" s="537"/>
      <c r="J240" s="539"/>
      <c r="K240" s="536"/>
      <c r="L240" s="537"/>
      <c r="M240" s="538"/>
      <c r="N240" s="540"/>
      <c r="O240" s="536"/>
      <c r="P240" s="536"/>
      <c r="Q240" s="537"/>
      <c r="R240" s="537"/>
      <c r="S240" s="541"/>
      <c r="T240" s="536"/>
      <c r="U240" s="542"/>
    </row>
    <row r="241" spans="1:21">
      <c r="A241" s="479"/>
      <c r="B241" s="4"/>
      <c r="C241" s="543"/>
      <c r="D241" s="544"/>
      <c r="E241" s="544"/>
      <c r="F241" s="544"/>
      <c r="G241" s="544"/>
      <c r="H241" s="545"/>
      <c r="I241" s="544"/>
      <c r="J241" s="546"/>
      <c r="K241" s="543"/>
      <c r="L241" s="547"/>
      <c r="M241" s="545"/>
      <c r="N241" s="548"/>
      <c r="O241" s="543"/>
      <c r="P241" s="543"/>
      <c r="Q241" s="547"/>
      <c r="R241" s="547"/>
      <c r="S241" s="549"/>
      <c r="T241" s="543"/>
      <c r="U241" s="550"/>
    </row>
    <row r="242" spans="1:21">
      <c r="A242" s="479"/>
      <c r="B242" s="480"/>
      <c r="C242" s="510"/>
      <c r="D242" s="512"/>
      <c r="E242" s="512"/>
      <c r="F242" s="512"/>
      <c r="G242" s="512"/>
      <c r="H242" s="529"/>
      <c r="I242" s="512"/>
      <c r="J242" s="514"/>
      <c r="K242" s="510"/>
      <c r="L242" s="511"/>
      <c r="M242" s="529"/>
      <c r="N242" s="530"/>
      <c r="O242" s="510"/>
      <c r="P242" s="510"/>
      <c r="Q242" s="511"/>
      <c r="R242" s="511"/>
      <c r="S242" s="517"/>
      <c r="T242" s="510"/>
      <c r="U242" s="528"/>
    </row>
    <row r="243" spans="1:21">
      <c r="A243" s="479"/>
      <c r="B243" s="4"/>
      <c r="C243" s="536"/>
      <c r="D243" s="537"/>
      <c r="E243" s="537"/>
      <c r="F243" s="537"/>
      <c r="G243" s="537"/>
      <c r="H243" s="538"/>
      <c r="I243" s="537"/>
      <c r="J243" s="539"/>
      <c r="K243" s="536"/>
      <c r="L243" s="537"/>
      <c r="M243" s="538"/>
      <c r="N243" s="540"/>
      <c r="O243" s="536"/>
      <c r="P243" s="536"/>
      <c r="Q243" s="537"/>
      <c r="R243" s="537"/>
      <c r="S243" s="541"/>
      <c r="T243" s="536"/>
      <c r="U243" s="542"/>
    </row>
    <row r="244" spans="1:21">
      <c r="A244" s="479"/>
      <c r="B244" s="4"/>
      <c r="C244" s="543"/>
      <c r="D244" s="544"/>
      <c r="E244" s="544"/>
      <c r="F244" s="544"/>
      <c r="G244" s="544"/>
      <c r="H244" s="545"/>
      <c r="I244" s="544"/>
      <c r="J244" s="546"/>
      <c r="K244" s="543"/>
      <c r="L244" s="547"/>
      <c r="M244" s="545"/>
      <c r="N244" s="548"/>
      <c r="O244" s="543"/>
      <c r="P244" s="543"/>
      <c r="Q244" s="547"/>
      <c r="R244" s="547"/>
      <c r="S244" s="549"/>
      <c r="T244" s="543"/>
      <c r="U244" s="550"/>
    </row>
    <row r="245" spans="1:21">
      <c r="A245" s="479"/>
      <c r="B245" s="480"/>
      <c r="C245" s="510"/>
      <c r="D245" s="512"/>
      <c r="E245" s="512"/>
      <c r="F245" s="512"/>
      <c r="G245" s="512"/>
      <c r="H245" s="529"/>
      <c r="I245" s="512"/>
      <c r="J245" s="514"/>
      <c r="K245" s="510"/>
      <c r="L245" s="511"/>
      <c r="M245" s="529"/>
      <c r="N245" s="530"/>
      <c r="O245" s="510"/>
      <c r="P245" s="510"/>
      <c r="Q245" s="511"/>
      <c r="R245" s="511"/>
      <c r="S245" s="517"/>
      <c r="T245" s="510"/>
      <c r="U245" s="528"/>
    </row>
    <row r="246" spans="1:21">
      <c r="A246" s="479"/>
      <c r="B246" s="4"/>
      <c r="C246" s="536"/>
      <c r="D246" s="537"/>
      <c r="E246" s="537"/>
      <c r="F246" s="537"/>
      <c r="G246" s="537"/>
      <c r="H246" s="538"/>
      <c r="I246" s="537"/>
      <c r="J246" s="539"/>
      <c r="K246" s="536"/>
      <c r="L246" s="537"/>
      <c r="M246" s="538"/>
      <c r="N246" s="540"/>
      <c r="O246" s="536"/>
      <c r="P246" s="536"/>
      <c r="Q246" s="537"/>
      <c r="R246" s="537"/>
      <c r="S246" s="541"/>
      <c r="T246" s="536"/>
      <c r="U246" s="542"/>
    </row>
    <row r="247" spans="1:21">
      <c r="A247" s="479"/>
      <c r="B247" s="4"/>
      <c r="C247" s="543"/>
      <c r="D247" s="544"/>
      <c r="E247" s="544"/>
      <c r="F247" s="544"/>
      <c r="G247" s="544"/>
      <c r="H247" s="545"/>
      <c r="I247" s="544"/>
      <c r="J247" s="546"/>
      <c r="K247" s="543"/>
      <c r="L247" s="547"/>
      <c r="M247" s="545"/>
      <c r="N247" s="548"/>
      <c r="O247" s="543"/>
      <c r="P247" s="543"/>
      <c r="Q247" s="547"/>
      <c r="R247" s="547"/>
      <c r="S247" s="549"/>
      <c r="T247" s="543"/>
      <c r="U247" s="550"/>
    </row>
    <row r="248" spans="1:21">
      <c r="A248" s="479"/>
      <c r="B248" s="480"/>
      <c r="C248" s="510"/>
      <c r="D248" s="512"/>
      <c r="E248" s="512"/>
      <c r="F248" s="512"/>
      <c r="G248" s="512"/>
      <c r="H248" s="529"/>
      <c r="I248" s="512"/>
      <c r="J248" s="514"/>
      <c r="K248" s="510"/>
      <c r="L248" s="511"/>
      <c r="M248" s="529"/>
      <c r="N248" s="530"/>
      <c r="O248" s="510"/>
      <c r="P248" s="510"/>
      <c r="Q248" s="511"/>
      <c r="R248" s="511"/>
      <c r="S248" s="517"/>
      <c r="T248" s="510"/>
      <c r="U248" s="528"/>
    </row>
    <row r="249" spans="1:21">
      <c r="A249" s="479"/>
      <c r="B249" s="4"/>
      <c r="C249" s="536"/>
      <c r="D249" s="537"/>
      <c r="E249" s="537"/>
      <c r="F249" s="537"/>
      <c r="G249" s="537"/>
      <c r="H249" s="538"/>
      <c r="I249" s="537"/>
      <c r="J249" s="539"/>
      <c r="K249" s="536"/>
      <c r="L249" s="537"/>
      <c r="M249" s="538"/>
      <c r="N249" s="540"/>
      <c r="O249" s="536"/>
      <c r="P249" s="536"/>
      <c r="Q249" s="537"/>
      <c r="R249" s="537"/>
      <c r="S249" s="541"/>
      <c r="T249" s="536"/>
      <c r="U249" s="542"/>
    </row>
    <row r="250" spans="1:21">
      <c r="A250" s="479"/>
      <c r="B250" s="4"/>
      <c r="C250" s="543"/>
      <c r="D250" s="544"/>
      <c r="E250" s="544"/>
      <c r="F250" s="544"/>
      <c r="G250" s="544"/>
      <c r="H250" s="545"/>
      <c r="I250" s="544"/>
      <c r="J250" s="546"/>
      <c r="K250" s="543"/>
      <c r="L250" s="547"/>
      <c r="M250" s="545"/>
      <c r="N250" s="548"/>
      <c r="O250" s="543"/>
      <c r="P250" s="543"/>
      <c r="Q250" s="547"/>
      <c r="R250" s="547"/>
      <c r="S250" s="549"/>
      <c r="T250" s="543"/>
      <c r="U250" s="550"/>
    </row>
    <row r="251" spans="1:21">
      <c r="A251" s="479"/>
      <c r="B251" s="480"/>
      <c r="C251" s="510"/>
      <c r="D251" s="512"/>
      <c r="E251" s="512"/>
      <c r="F251" s="512"/>
      <c r="G251" s="512"/>
      <c r="H251" s="529"/>
      <c r="I251" s="512"/>
      <c r="J251" s="514"/>
      <c r="K251" s="510"/>
      <c r="L251" s="511"/>
      <c r="M251" s="529"/>
      <c r="N251" s="530"/>
      <c r="O251" s="510"/>
      <c r="P251" s="510"/>
      <c r="Q251" s="511"/>
      <c r="R251" s="511"/>
      <c r="S251" s="517"/>
      <c r="T251" s="510"/>
      <c r="U251" s="528"/>
    </row>
    <row r="252" spans="1:21">
      <c r="A252" s="479"/>
      <c r="B252" s="4"/>
      <c r="C252" s="536"/>
      <c r="D252" s="537"/>
      <c r="E252" s="537"/>
      <c r="F252" s="537"/>
      <c r="G252" s="537"/>
      <c r="H252" s="538"/>
      <c r="I252" s="537"/>
      <c r="J252" s="539"/>
      <c r="K252" s="536"/>
      <c r="L252" s="537"/>
      <c r="M252" s="538"/>
      <c r="N252" s="540"/>
      <c r="O252" s="536"/>
      <c r="P252" s="536"/>
      <c r="Q252" s="537"/>
      <c r="R252" s="537"/>
      <c r="S252" s="541"/>
      <c r="T252" s="536"/>
      <c r="U252" s="542"/>
    </row>
    <row r="253" spans="1:21">
      <c r="A253" s="479"/>
      <c r="B253" s="4"/>
      <c r="C253" s="543"/>
      <c r="D253" s="544"/>
      <c r="E253" s="544"/>
      <c r="F253" s="544"/>
      <c r="G253" s="544"/>
      <c r="H253" s="545"/>
      <c r="I253" s="544"/>
      <c r="J253" s="546"/>
      <c r="K253" s="543"/>
      <c r="L253" s="547"/>
      <c r="M253" s="545"/>
      <c r="N253" s="548"/>
      <c r="O253" s="543"/>
      <c r="P253" s="543"/>
      <c r="Q253" s="547"/>
      <c r="R253" s="547"/>
      <c r="S253" s="549"/>
      <c r="T253" s="543"/>
      <c r="U253" s="550"/>
    </row>
    <row r="254" spans="1:21">
      <c r="A254" s="479"/>
      <c r="B254" s="480"/>
      <c r="C254" s="551"/>
      <c r="D254" s="552"/>
      <c r="E254" s="552"/>
      <c r="F254" s="552"/>
      <c r="G254" s="552"/>
      <c r="H254" s="529"/>
      <c r="I254" s="552"/>
      <c r="J254" s="531"/>
      <c r="K254" s="551"/>
      <c r="L254" s="552"/>
      <c r="M254" s="529"/>
      <c r="N254" s="530"/>
      <c r="O254" s="551"/>
      <c r="P254" s="551"/>
      <c r="Q254" s="552"/>
      <c r="R254" s="552"/>
      <c r="S254" s="553"/>
      <c r="T254" s="551"/>
      <c r="U254" s="554"/>
    </row>
    <row r="255" spans="1:21">
      <c r="A255" s="479"/>
      <c r="B255" s="4"/>
      <c r="C255" s="506"/>
      <c r="D255" s="508"/>
      <c r="E255" s="508"/>
      <c r="F255" s="508"/>
      <c r="G255" s="508"/>
      <c r="H255" s="508"/>
      <c r="I255" s="508"/>
      <c r="J255" s="509"/>
      <c r="K255" s="506"/>
      <c r="L255" s="507"/>
      <c r="M255" s="507"/>
      <c r="N255" s="507"/>
      <c r="O255" s="506"/>
      <c r="P255" s="506"/>
      <c r="Q255" s="507"/>
      <c r="R255" s="507"/>
      <c r="S255" s="515"/>
      <c r="T255" s="506"/>
      <c r="U255" s="527"/>
    </row>
    <row r="256" spans="1:21">
      <c r="A256" s="479"/>
      <c r="B256" s="4"/>
      <c r="C256" s="506"/>
      <c r="D256" s="508"/>
      <c r="E256" s="508"/>
      <c r="F256" s="508"/>
      <c r="G256" s="508"/>
      <c r="H256" s="508"/>
      <c r="I256" s="508"/>
      <c r="J256" s="509"/>
      <c r="K256" s="506"/>
      <c r="L256" s="507"/>
      <c r="M256" s="507"/>
      <c r="N256" s="507"/>
      <c r="O256" s="506"/>
      <c r="P256" s="506"/>
      <c r="Q256" s="507"/>
      <c r="R256" s="507"/>
      <c r="S256" s="515"/>
      <c r="T256" s="506"/>
      <c r="U256" s="527"/>
    </row>
    <row r="257" spans="1:21">
      <c r="A257" s="502"/>
      <c r="B257" s="481"/>
      <c r="C257" s="510"/>
      <c r="D257" s="512"/>
      <c r="E257" s="512"/>
      <c r="F257" s="512"/>
      <c r="G257" s="512"/>
      <c r="H257" s="529"/>
      <c r="I257" s="512"/>
      <c r="J257" s="514"/>
      <c r="K257" s="510"/>
      <c r="L257" s="511"/>
      <c r="M257" s="529"/>
      <c r="N257" s="530"/>
      <c r="O257" s="510"/>
      <c r="P257" s="510"/>
      <c r="Q257" s="511"/>
      <c r="R257" s="511"/>
      <c r="S257" s="517"/>
      <c r="T257" s="510"/>
      <c r="U257" s="528"/>
    </row>
    <row r="258" spans="1:21">
      <c r="A258" s="478"/>
      <c r="B258" s="3"/>
      <c r="C258" s="536"/>
      <c r="D258" s="537"/>
      <c r="E258" s="537"/>
      <c r="F258" s="537"/>
      <c r="G258" s="537"/>
      <c r="H258" s="538"/>
      <c r="I258" s="537"/>
      <c r="J258" s="539"/>
      <c r="K258" s="536"/>
      <c r="L258" s="537"/>
      <c r="M258" s="538"/>
      <c r="N258" s="540"/>
      <c r="O258" s="536"/>
      <c r="P258" s="536"/>
      <c r="Q258" s="537"/>
      <c r="R258" s="537"/>
      <c r="S258" s="541"/>
      <c r="T258" s="536"/>
      <c r="U258" s="542"/>
    </row>
    <row r="259" spans="1:21">
      <c r="A259" s="479"/>
      <c r="B259" s="4"/>
      <c r="C259" s="543"/>
      <c r="D259" s="544"/>
      <c r="E259" s="544"/>
      <c r="F259" s="544"/>
      <c r="G259" s="544"/>
      <c r="H259" s="545"/>
      <c r="I259" s="544"/>
      <c r="J259" s="546"/>
      <c r="K259" s="543"/>
      <c r="L259" s="547"/>
      <c r="M259" s="545"/>
      <c r="N259" s="548"/>
      <c r="O259" s="543"/>
      <c r="P259" s="543"/>
      <c r="Q259" s="547"/>
      <c r="R259" s="547"/>
      <c r="S259" s="549"/>
      <c r="T259" s="543"/>
      <c r="U259" s="550"/>
    </row>
    <row r="260" spans="1:21" s="521" customFormat="1">
      <c r="A260" s="479"/>
      <c r="B260" s="505"/>
      <c r="C260" s="510"/>
      <c r="D260" s="512"/>
      <c r="E260" s="512"/>
      <c r="F260" s="512"/>
      <c r="G260" s="512"/>
      <c r="H260" s="529"/>
      <c r="I260" s="512"/>
      <c r="J260" s="514"/>
      <c r="K260" s="510"/>
      <c r="L260" s="511"/>
      <c r="M260" s="529"/>
      <c r="N260" s="530"/>
      <c r="O260" s="510"/>
      <c r="P260" s="510"/>
      <c r="Q260" s="511"/>
      <c r="R260" s="511"/>
      <c r="S260" s="517"/>
      <c r="T260" s="510"/>
      <c r="U260" s="528"/>
    </row>
    <row r="261" spans="1:21">
      <c r="A261" s="479"/>
      <c r="B261" s="4"/>
      <c r="C261" s="536"/>
      <c r="D261" s="537"/>
      <c r="E261" s="537"/>
      <c r="F261" s="537"/>
      <c r="G261" s="537"/>
      <c r="H261" s="538"/>
      <c r="I261" s="537"/>
      <c r="J261" s="539"/>
      <c r="K261" s="536"/>
      <c r="L261" s="537"/>
      <c r="M261" s="538"/>
      <c r="N261" s="540"/>
      <c r="O261" s="536"/>
      <c r="P261" s="536"/>
      <c r="Q261" s="537"/>
      <c r="R261" s="537"/>
      <c r="S261" s="541"/>
      <c r="T261" s="536"/>
      <c r="U261" s="542"/>
    </row>
    <row r="262" spans="1:21">
      <c r="A262" s="414"/>
      <c r="B262" s="4"/>
      <c r="C262" s="543"/>
      <c r="D262" s="544"/>
      <c r="E262" s="544"/>
      <c r="F262" s="544"/>
      <c r="G262" s="544"/>
      <c r="H262" s="545"/>
      <c r="I262" s="544"/>
      <c r="J262" s="546"/>
      <c r="K262" s="543"/>
      <c r="L262" s="547"/>
      <c r="M262" s="545"/>
      <c r="N262" s="548"/>
      <c r="O262" s="543"/>
      <c r="P262" s="543"/>
      <c r="Q262" s="547"/>
      <c r="R262" s="547"/>
      <c r="S262" s="549"/>
      <c r="T262" s="543"/>
      <c r="U262" s="550"/>
    </row>
    <row r="263" spans="1:21" s="521" customFormat="1">
      <c r="A263" s="414"/>
      <c r="B263" s="480"/>
      <c r="C263" s="510"/>
      <c r="D263" s="512"/>
      <c r="E263" s="512"/>
      <c r="F263" s="512"/>
      <c r="G263" s="512"/>
      <c r="H263" s="529"/>
      <c r="I263" s="512"/>
      <c r="J263" s="514"/>
      <c r="K263" s="510"/>
      <c r="L263" s="511"/>
      <c r="M263" s="529"/>
      <c r="N263" s="530"/>
      <c r="O263" s="510"/>
      <c r="P263" s="510"/>
      <c r="Q263" s="511"/>
      <c r="R263" s="511"/>
      <c r="S263" s="517"/>
      <c r="T263" s="510"/>
      <c r="U263" s="528"/>
    </row>
    <row r="264" spans="1:21">
      <c r="A264" s="414"/>
      <c r="B264" s="4"/>
      <c r="C264" s="536"/>
      <c r="D264" s="537"/>
      <c r="E264" s="537"/>
      <c r="F264" s="537"/>
      <c r="G264" s="537"/>
      <c r="H264" s="538"/>
      <c r="I264" s="537"/>
      <c r="J264" s="539"/>
      <c r="K264" s="536"/>
      <c r="L264" s="537"/>
      <c r="M264" s="538"/>
      <c r="N264" s="540"/>
      <c r="O264" s="536"/>
      <c r="P264" s="536"/>
      <c r="Q264" s="537"/>
      <c r="R264" s="537"/>
      <c r="S264" s="541"/>
      <c r="T264" s="536"/>
      <c r="U264" s="542"/>
    </row>
    <row r="265" spans="1:21">
      <c r="A265" s="414"/>
      <c r="B265" s="4"/>
      <c r="C265" s="543"/>
      <c r="D265" s="544"/>
      <c r="E265" s="544"/>
      <c r="F265" s="544"/>
      <c r="G265" s="544"/>
      <c r="H265" s="545"/>
      <c r="I265" s="544"/>
      <c r="J265" s="546"/>
      <c r="K265" s="543"/>
      <c r="L265" s="547"/>
      <c r="M265" s="545"/>
      <c r="N265" s="548"/>
      <c r="O265" s="543"/>
      <c r="P265" s="543"/>
      <c r="Q265" s="547"/>
      <c r="R265" s="547"/>
      <c r="S265" s="549"/>
      <c r="T265" s="543"/>
      <c r="U265" s="550"/>
    </row>
    <row r="266" spans="1:21" s="521" customFormat="1">
      <c r="A266" s="414"/>
      <c r="B266" s="480"/>
      <c r="C266" s="510"/>
      <c r="D266" s="512"/>
      <c r="E266" s="512"/>
      <c r="F266" s="512"/>
      <c r="G266" s="512"/>
      <c r="H266" s="529"/>
      <c r="I266" s="512"/>
      <c r="J266" s="514"/>
      <c r="K266" s="510"/>
      <c r="L266" s="511"/>
      <c r="M266" s="529"/>
      <c r="N266" s="530"/>
      <c r="O266" s="510"/>
      <c r="P266" s="510"/>
      <c r="Q266" s="511"/>
      <c r="R266" s="511"/>
      <c r="S266" s="517"/>
      <c r="T266" s="510"/>
      <c r="U266" s="528"/>
    </row>
    <row r="267" spans="1:21">
      <c r="A267" s="414"/>
      <c r="B267" s="4"/>
      <c r="C267" s="536"/>
      <c r="D267" s="537"/>
      <c r="E267" s="537"/>
      <c r="F267" s="537"/>
      <c r="G267" s="537"/>
      <c r="H267" s="538"/>
      <c r="I267" s="537"/>
      <c r="J267" s="539"/>
      <c r="K267" s="536"/>
      <c r="L267" s="537"/>
      <c r="M267" s="538"/>
      <c r="N267" s="540"/>
      <c r="O267" s="536"/>
      <c r="P267" s="536"/>
      <c r="Q267" s="537"/>
      <c r="R267" s="537"/>
      <c r="S267" s="541"/>
      <c r="T267" s="536"/>
      <c r="U267" s="542"/>
    </row>
    <row r="268" spans="1:21">
      <c r="A268" s="414"/>
      <c r="B268" s="4"/>
      <c r="C268" s="543"/>
      <c r="D268" s="544"/>
      <c r="E268" s="544"/>
      <c r="F268" s="544"/>
      <c r="G268" s="544"/>
      <c r="H268" s="545"/>
      <c r="I268" s="544"/>
      <c r="J268" s="546"/>
      <c r="K268" s="543"/>
      <c r="L268" s="547"/>
      <c r="M268" s="545"/>
      <c r="N268" s="548"/>
      <c r="O268" s="543"/>
      <c r="P268" s="543"/>
      <c r="Q268" s="547"/>
      <c r="R268" s="547"/>
      <c r="S268" s="549"/>
      <c r="T268" s="543"/>
      <c r="U268" s="550"/>
    </row>
    <row r="269" spans="1:21" s="521" customFormat="1">
      <c r="A269" s="414"/>
      <c r="B269" s="480"/>
      <c r="C269" s="510"/>
      <c r="D269" s="512"/>
      <c r="E269" s="512"/>
      <c r="F269" s="512"/>
      <c r="G269" s="512"/>
      <c r="H269" s="529"/>
      <c r="I269" s="512"/>
      <c r="J269" s="514"/>
      <c r="K269" s="510"/>
      <c r="L269" s="511"/>
      <c r="M269" s="529"/>
      <c r="N269" s="530"/>
      <c r="O269" s="510"/>
      <c r="P269" s="510"/>
      <c r="Q269" s="511"/>
      <c r="R269" s="511"/>
      <c r="S269" s="517"/>
      <c r="T269" s="510"/>
      <c r="U269" s="528"/>
    </row>
    <row r="270" spans="1:21">
      <c r="A270" s="479"/>
      <c r="B270" s="4"/>
      <c r="C270" s="536"/>
      <c r="D270" s="537"/>
      <c r="E270" s="537"/>
      <c r="F270" s="537"/>
      <c r="G270" s="537"/>
      <c r="H270" s="538"/>
      <c r="I270" s="537"/>
      <c r="J270" s="539"/>
      <c r="K270" s="536"/>
      <c r="L270" s="537"/>
      <c r="M270" s="538"/>
      <c r="N270" s="540"/>
      <c r="O270" s="536"/>
      <c r="P270" s="536"/>
      <c r="Q270" s="537"/>
      <c r="R270" s="537"/>
      <c r="S270" s="541"/>
      <c r="T270" s="536"/>
      <c r="U270" s="542"/>
    </row>
    <row r="271" spans="1:21">
      <c r="A271" s="479"/>
      <c r="B271" s="4"/>
      <c r="C271" s="543"/>
      <c r="D271" s="544"/>
      <c r="E271" s="544"/>
      <c r="F271" s="544"/>
      <c r="G271" s="544"/>
      <c r="H271" s="545"/>
      <c r="I271" s="544"/>
      <c r="J271" s="546"/>
      <c r="K271" s="543"/>
      <c r="L271" s="547"/>
      <c r="M271" s="545"/>
      <c r="N271" s="548"/>
      <c r="O271" s="543"/>
      <c r="P271" s="543"/>
      <c r="Q271" s="547"/>
      <c r="R271" s="547"/>
      <c r="S271" s="549"/>
      <c r="T271" s="543"/>
      <c r="U271" s="550"/>
    </row>
    <row r="272" spans="1:21" s="521" customFormat="1">
      <c r="A272" s="479"/>
      <c r="B272" s="480"/>
      <c r="C272" s="510"/>
      <c r="D272" s="512"/>
      <c r="E272" s="512"/>
      <c r="F272" s="512"/>
      <c r="G272" s="512"/>
      <c r="H272" s="529"/>
      <c r="I272" s="512"/>
      <c r="J272" s="514"/>
      <c r="K272" s="510"/>
      <c r="L272" s="511"/>
      <c r="M272" s="529"/>
      <c r="N272" s="530"/>
      <c r="O272" s="510"/>
      <c r="P272" s="510"/>
      <c r="Q272" s="511"/>
      <c r="R272" s="511"/>
      <c r="S272" s="517"/>
      <c r="T272" s="510"/>
      <c r="U272" s="528"/>
    </row>
    <row r="273" spans="1:21">
      <c r="A273" s="479"/>
      <c r="B273" s="4"/>
      <c r="C273" s="536"/>
      <c r="D273" s="537"/>
      <c r="E273" s="537"/>
      <c r="F273" s="537"/>
      <c r="G273" s="537"/>
      <c r="H273" s="538"/>
      <c r="I273" s="537"/>
      <c r="J273" s="539"/>
      <c r="K273" s="536"/>
      <c r="L273" s="537"/>
      <c r="M273" s="538"/>
      <c r="N273" s="540"/>
      <c r="O273" s="536"/>
      <c r="P273" s="536"/>
      <c r="Q273" s="537"/>
      <c r="R273" s="537"/>
      <c r="S273" s="541"/>
      <c r="T273" s="536"/>
      <c r="U273" s="542"/>
    </row>
    <row r="274" spans="1:21">
      <c r="A274" s="479"/>
      <c r="B274" s="4"/>
      <c r="C274" s="543"/>
      <c r="D274" s="544"/>
      <c r="E274" s="544"/>
      <c r="F274" s="544"/>
      <c r="G274" s="544"/>
      <c r="H274" s="545"/>
      <c r="I274" s="544"/>
      <c r="J274" s="546"/>
      <c r="K274" s="543"/>
      <c r="L274" s="547"/>
      <c r="M274" s="545"/>
      <c r="N274" s="548"/>
      <c r="O274" s="543"/>
      <c r="P274" s="543"/>
      <c r="Q274" s="547"/>
      <c r="R274" s="547"/>
      <c r="S274" s="549"/>
      <c r="T274" s="543"/>
      <c r="U274" s="550"/>
    </row>
    <row r="275" spans="1:21" s="521" customFormat="1">
      <c r="A275" s="479"/>
      <c r="B275" s="480"/>
      <c r="C275" s="510"/>
      <c r="D275" s="512"/>
      <c r="E275" s="512"/>
      <c r="F275" s="512"/>
      <c r="G275" s="512"/>
      <c r="H275" s="529"/>
      <c r="I275" s="512"/>
      <c r="J275" s="514"/>
      <c r="K275" s="510"/>
      <c r="L275" s="511"/>
      <c r="M275" s="529"/>
      <c r="N275" s="530"/>
      <c r="O275" s="510"/>
      <c r="P275" s="510"/>
      <c r="Q275" s="511"/>
      <c r="R275" s="511"/>
      <c r="S275" s="517"/>
      <c r="T275" s="510"/>
      <c r="U275" s="528"/>
    </row>
    <row r="276" spans="1:21">
      <c r="A276" s="479"/>
      <c r="B276" s="4"/>
      <c r="C276" s="536"/>
      <c r="D276" s="537"/>
      <c r="E276" s="537"/>
      <c r="F276" s="537"/>
      <c r="G276" s="537"/>
      <c r="H276" s="538"/>
      <c r="I276" s="537"/>
      <c r="J276" s="539"/>
      <c r="K276" s="536"/>
      <c r="L276" s="537"/>
      <c r="M276" s="538"/>
      <c r="N276" s="540"/>
      <c r="O276" s="536"/>
      <c r="P276" s="536"/>
      <c r="Q276" s="537"/>
      <c r="R276" s="537"/>
      <c r="S276" s="541"/>
      <c r="T276" s="536"/>
      <c r="U276" s="542"/>
    </row>
    <row r="277" spans="1:21">
      <c r="A277" s="479"/>
      <c r="B277" s="4"/>
      <c r="C277" s="543"/>
      <c r="D277" s="544"/>
      <c r="E277" s="544"/>
      <c r="F277" s="544"/>
      <c r="G277" s="544"/>
      <c r="H277" s="545"/>
      <c r="I277" s="544"/>
      <c r="J277" s="546"/>
      <c r="K277" s="543"/>
      <c r="L277" s="547"/>
      <c r="M277" s="545"/>
      <c r="N277" s="548"/>
      <c r="O277" s="543"/>
      <c r="P277" s="543"/>
      <c r="Q277" s="547"/>
      <c r="R277" s="547"/>
      <c r="S277" s="549"/>
      <c r="T277" s="543"/>
      <c r="U277" s="550"/>
    </row>
    <row r="278" spans="1:21" s="521" customFormat="1">
      <c r="A278" s="479"/>
      <c r="B278" s="480"/>
      <c r="C278" s="510"/>
      <c r="D278" s="512"/>
      <c r="E278" s="512"/>
      <c r="F278" s="512"/>
      <c r="G278" s="512"/>
      <c r="H278" s="529"/>
      <c r="I278" s="512"/>
      <c r="J278" s="514"/>
      <c r="K278" s="510"/>
      <c r="L278" s="511"/>
      <c r="M278" s="529"/>
      <c r="N278" s="530"/>
      <c r="O278" s="510"/>
      <c r="P278" s="510"/>
      <c r="Q278" s="511"/>
      <c r="R278" s="511"/>
      <c r="S278" s="517"/>
      <c r="T278" s="510"/>
      <c r="U278" s="528"/>
    </row>
    <row r="279" spans="1:21">
      <c r="A279" s="479"/>
      <c r="B279" s="4"/>
      <c r="C279" s="536"/>
      <c r="D279" s="537"/>
      <c r="E279" s="537"/>
      <c r="F279" s="537"/>
      <c r="G279" s="537"/>
      <c r="H279" s="538"/>
      <c r="I279" s="537"/>
      <c r="J279" s="539"/>
      <c r="K279" s="536"/>
      <c r="L279" s="537"/>
      <c r="M279" s="538"/>
      <c r="N279" s="540"/>
      <c r="O279" s="536"/>
      <c r="P279" s="536"/>
      <c r="Q279" s="537"/>
      <c r="R279" s="537"/>
      <c r="S279" s="541"/>
      <c r="T279" s="536"/>
      <c r="U279" s="542"/>
    </row>
    <row r="280" spans="1:21">
      <c r="A280" s="479"/>
      <c r="B280" s="4"/>
      <c r="C280" s="543"/>
      <c r="D280" s="544"/>
      <c r="E280" s="544"/>
      <c r="F280" s="544"/>
      <c r="G280" s="544"/>
      <c r="H280" s="545"/>
      <c r="I280" s="544"/>
      <c r="J280" s="546"/>
      <c r="K280" s="543"/>
      <c r="L280" s="547"/>
      <c r="M280" s="545"/>
      <c r="N280" s="548"/>
      <c r="O280" s="543"/>
      <c r="P280" s="543"/>
      <c r="Q280" s="547"/>
      <c r="R280" s="547"/>
      <c r="S280" s="549"/>
      <c r="T280" s="543"/>
      <c r="U280" s="550"/>
    </row>
    <row r="281" spans="1:21" s="521" customFormat="1">
      <c r="A281" s="479"/>
      <c r="B281" s="480"/>
      <c r="C281" s="510"/>
      <c r="D281" s="512"/>
      <c r="E281" s="512"/>
      <c r="F281" s="512"/>
      <c r="G281" s="512"/>
      <c r="H281" s="529"/>
      <c r="I281" s="512"/>
      <c r="J281" s="514"/>
      <c r="K281" s="510"/>
      <c r="L281" s="511"/>
      <c r="M281" s="529"/>
      <c r="N281" s="530"/>
      <c r="O281" s="510"/>
      <c r="P281" s="510"/>
      <c r="Q281" s="511"/>
      <c r="R281" s="511"/>
      <c r="S281" s="517"/>
      <c r="T281" s="510"/>
      <c r="U281" s="528"/>
    </row>
    <row r="282" spans="1:21">
      <c r="A282" s="479"/>
      <c r="B282" s="4"/>
      <c r="C282" s="536"/>
      <c r="D282" s="537"/>
      <c r="E282" s="537"/>
      <c r="F282" s="537"/>
      <c r="G282" s="537"/>
      <c r="H282" s="538"/>
      <c r="I282" s="537"/>
      <c r="J282" s="539"/>
      <c r="K282" s="536"/>
      <c r="L282" s="537"/>
      <c r="M282" s="538"/>
      <c r="N282" s="540"/>
      <c r="O282" s="536"/>
      <c r="P282" s="536"/>
      <c r="Q282" s="537"/>
      <c r="R282" s="537"/>
      <c r="S282" s="541"/>
      <c r="T282" s="536"/>
      <c r="U282" s="542"/>
    </row>
    <row r="283" spans="1:21">
      <c r="A283" s="479"/>
      <c r="B283" s="4"/>
      <c r="C283" s="543"/>
      <c r="D283" s="544"/>
      <c r="E283" s="544"/>
      <c r="F283" s="544"/>
      <c r="G283" s="544"/>
      <c r="H283" s="545"/>
      <c r="I283" s="544"/>
      <c r="J283" s="546"/>
      <c r="K283" s="543"/>
      <c r="L283" s="547"/>
      <c r="M283" s="545"/>
      <c r="N283" s="548"/>
      <c r="O283" s="543"/>
      <c r="P283" s="543"/>
      <c r="Q283" s="547"/>
      <c r="R283" s="547"/>
      <c r="S283" s="549"/>
      <c r="T283" s="543"/>
      <c r="U283" s="550"/>
    </row>
    <row r="284" spans="1:21" s="521" customFormat="1">
      <c r="A284" s="479"/>
      <c r="B284" s="480"/>
      <c r="C284" s="510"/>
      <c r="D284" s="512"/>
      <c r="E284" s="512"/>
      <c r="F284" s="512"/>
      <c r="G284" s="512"/>
      <c r="H284" s="529"/>
      <c r="I284" s="512"/>
      <c r="J284" s="514"/>
      <c r="K284" s="510"/>
      <c r="L284" s="511"/>
      <c r="M284" s="529"/>
      <c r="N284" s="530"/>
      <c r="O284" s="510"/>
      <c r="P284" s="510"/>
      <c r="Q284" s="511"/>
      <c r="R284" s="511"/>
      <c r="S284" s="517"/>
      <c r="T284" s="510"/>
      <c r="U284" s="528"/>
    </row>
    <row r="285" spans="1:21">
      <c r="A285" s="479"/>
      <c r="B285" s="4"/>
      <c r="C285" s="536"/>
      <c r="D285" s="537"/>
      <c r="E285" s="537"/>
      <c r="F285" s="537"/>
      <c r="G285" s="537"/>
      <c r="H285" s="538"/>
      <c r="I285" s="537"/>
      <c r="J285" s="539"/>
      <c r="K285" s="536"/>
      <c r="L285" s="537"/>
      <c r="M285" s="538"/>
      <c r="N285" s="540"/>
      <c r="O285" s="536"/>
      <c r="P285" s="536"/>
      <c r="Q285" s="537"/>
      <c r="R285" s="537"/>
      <c r="S285" s="541"/>
      <c r="T285" s="536"/>
      <c r="U285" s="542"/>
    </row>
    <row r="286" spans="1:21">
      <c r="A286" s="479"/>
      <c r="B286" s="4"/>
      <c r="C286" s="543"/>
      <c r="D286" s="544"/>
      <c r="E286" s="544"/>
      <c r="F286" s="544"/>
      <c r="G286" s="544"/>
      <c r="H286" s="545"/>
      <c r="I286" s="544"/>
      <c r="J286" s="546"/>
      <c r="K286" s="543"/>
      <c r="L286" s="547"/>
      <c r="M286" s="545"/>
      <c r="N286" s="548"/>
      <c r="O286" s="543"/>
      <c r="P286" s="543"/>
      <c r="Q286" s="547"/>
      <c r="R286" s="547"/>
      <c r="S286" s="549"/>
      <c r="T286" s="543"/>
      <c r="U286" s="550"/>
    </row>
    <row r="287" spans="1:21" s="521" customFormat="1">
      <c r="A287" s="479"/>
      <c r="B287" s="480"/>
      <c r="C287" s="510"/>
      <c r="D287" s="512"/>
      <c r="E287" s="512"/>
      <c r="F287" s="512"/>
      <c r="G287" s="512"/>
      <c r="H287" s="529"/>
      <c r="I287" s="512"/>
      <c r="J287" s="514"/>
      <c r="K287" s="510"/>
      <c r="L287" s="511"/>
      <c r="M287" s="529"/>
      <c r="N287" s="530"/>
      <c r="O287" s="510"/>
      <c r="P287" s="510"/>
      <c r="Q287" s="511"/>
      <c r="R287" s="511"/>
      <c r="S287" s="517"/>
      <c r="T287" s="510"/>
      <c r="U287" s="528"/>
    </row>
    <row r="288" spans="1:21">
      <c r="A288" s="479"/>
      <c r="B288" s="4"/>
      <c r="C288" s="536"/>
      <c r="D288" s="537"/>
      <c r="E288" s="537"/>
      <c r="F288" s="537"/>
      <c r="G288" s="537"/>
      <c r="H288" s="538"/>
      <c r="I288" s="537"/>
      <c r="J288" s="539"/>
      <c r="K288" s="536"/>
      <c r="L288" s="537"/>
      <c r="M288" s="538"/>
      <c r="N288" s="540"/>
      <c r="O288" s="536"/>
      <c r="P288" s="536"/>
      <c r="Q288" s="537"/>
      <c r="R288" s="537"/>
      <c r="S288" s="541"/>
      <c r="T288" s="536"/>
      <c r="U288" s="542"/>
    </row>
    <row r="289" spans="1:21">
      <c r="A289" s="479"/>
      <c r="B289" s="4"/>
      <c r="C289" s="543"/>
      <c r="D289" s="544"/>
      <c r="E289" s="544"/>
      <c r="F289" s="544"/>
      <c r="G289" s="544"/>
      <c r="H289" s="545"/>
      <c r="I289" s="544"/>
      <c r="J289" s="546"/>
      <c r="K289" s="543"/>
      <c r="L289" s="547"/>
      <c r="M289" s="545"/>
      <c r="N289" s="548"/>
      <c r="O289" s="543"/>
      <c r="P289" s="543"/>
      <c r="Q289" s="547"/>
      <c r="R289" s="547"/>
      <c r="S289" s="549"/>
      <c r="T289" s="543"/>
      <c r="U289" s="550"/>
    </row>
    <row r="290" spans="1:21" s="521" customFormat="1">
      <c r="A290" s="479"/>
      <c r="B290" s="480"/>
      <c r="C290" s="551"/>
      <c r="D290" s="552"/>
      <c r="E290" s="552"/>
      <c r="F290" s="552"/>
      <c r="G290" s="552"/>
      <c r="H290" s="529"/>
      <c r="I290" s="552"/>
      <c r="J290" s="531"/>
      <c r="K290" s="551"/>
      <c r="L290" s="552"/>
      <c r="M290" s="529"/>
      <c r="N290" s="530"/>
      <c r="O290" s="551"/>
      <c r="P290" s="551"/>
      <c r="Q290" s="552"/>
      <c r="R290" s="552"/>
      <c r="S290" s="553"/>
      <c r="T290" s="551"/>
      <c r="U290" s="554"/>
    </row>
    <row r="291" spans="1:21">
      <c r="A291" s="479"/>
      <c r="B291" s="4"/>
      <c r="C291" s="506"/>
      <c r="D291" s="508"/>
      <c r="E291" s="508"/>
      <c r="F291" s="508"/>
      <c r="G291" s="508"/>
      <c r="H291" s="508"/>
      <c r="I291" s="508"/>
      <c r="J291" s="509"/>
      <c r="K291" s="506"/>
      <c r="L291" s="507"/>
      <c r="M291" s="507"/>
      <c r="N291" s="507"/>
      <c r="O291" s="506"/>
      <c r="P291" s="506"/>
      <c r="Q291" s="507"/>
      <c r="R291" s="507"/>
      <c r="S291" s="515"/>
      <c r="T291" s="506"/>
      <c r="U291" s="527"/>
    </row>
    <row r="292" spans="1:21">
      <c r="A292" s="479"/>
      <c r="B292" s="4"/>
      <c r="C292" s="506"/>
      <c r="D292" s="508"/>
      <c r="E292" s="508"/>
      <c r="F292" s="508"/>
      <c r="G292" s="508"/>
      <c r="H292" s="508"/>
      <c r="I292" s="508"/>
      <c r="J292" s="509"/>
      <c r="K292" s="506"/>
      <c r="L292" s="507"/>
      <c r="M292" s="507"/>
      <c r="N292" s="507"/>
      <c r="O292" s="506"/>
      <c r="P292" s="506"/>
      <c r="Q292" s="507"/>
      <c r="R292" s="507"/>
      <c r="S292" s="515"/>
      <c r="T292" s="506"/>
      <c r="U292" s="527"/>
    </row>
    <row r="293" spans="1:21" s="521" customFormat="1">
      <c r="A293" s="502"/>
      <c r="B293" s="481"/>
      <c r="C293" s="510"/>
      <c r="D293" s="512"/>
      <c r="E293" s="512"/>
      <c r="F293" s="512"/>
      <c r="G293" s="512"/>
      <c r="H293" s="529"/>
      <c r="I293" s="512"/>
      <c r="J293" s="514"/>
      <c r="K293" s="510"/>
      <c r="L293" s="511"/>
      <c r="M293" s="529"/>
      <c r="N293" s="530"/>
      <c r="O293" s="510"/>
      <c r="P293" s="510"/>
      <c r="Q293" s="511"/>
      <c r="R293" s="511"/>
      <c r="S293" s="517"/>
      <c r="T293" s="510"/>
      <c r="U293" s="528"/>
    </row>
    <row r="294" spans="1:21">
      <c r="A294" s="478"/>
      <c r="B294" s="3"/>
      <c r="C294" s="536"/>
      <c r="D294" s="537"/>
      <c r="E294" s="537"/>
      <c r="F294" s="537"/>
      <c r="G294" s="537"/>
      <c r="H294" s="538"/>
      <c r="I294" s="537"/>
      <c r="J294" s="539"/>
      <c r="K294" s="536"/>
      <c r="L294" s="537"/>
      <c r="M294" s="538"/>
      <c r="N294" s="540"/>
      <c r="O294" s="536"/>
      <c r="P294" s="536"/>
      <c r="Q294" s="537"/>
      <c r="R294" s="537"/>
      <c r="S294" s="541"/>
      <c r="T294" s="536"/>
      <c r="U294" s="542"/>
    </row>
    <row r="295" spans="1:21">
      <c r="A295" s="479"/>
      <c r="B295" s="4"/>
      <c r="C295" s="543"/>
      <c r="D295" s="544"/>
      <c r="E295" s="544"/>
      <c r="F295" s="544"/>
      <c r="G295" s="544"/>
      <c r="H295" s="545"/>
      <c r="I295" s="544"/>
      <c r="J295" s="546"/>
      <c r="K295" s="543"/>
      <c r="L295" s="547"/>
      <c r="M295" s="545"/>
      <c r="N295" s="548"/>
      <c r="O295" s="543"/>
      <c r="P295" s="543"/>
      <c r="Q295" s="547"/>
      <c r="R295" s="547"/>
      <c r="S295" s="549"/>
      <c r="T295" s="543"/>
      <c r="U295" s="550"/>
    </row>
    <row r="296" spans="1:21">
      <c r="A296" s="479"/>
      <c r="B296" s="505"/>
      <c r="C296" s="510"/>
      <c r="D296" s="512"/>
      <c r="E296" s="512"/>
      <c r="F296" s="512"/>
      <c r="G296" s="512"/>
      <c r="H296" s="529"/>
      <c r="I296" s="512"/>
      <c r="J296" s="514"/>
      <c r="K296" s="510"/>
      <c r="L296" s="511"/>
      <c r="M296" s="529"/>
      <c r="N296" s="530"/>
      <c r="O296" s="510"/>
      <c r="P296" s="510"/>
      <c r="Q296" s="511"/>
      <c r="R296" s="511"/>
      <c r="S296" s="517"/>
      <c r="T296" s="510"/>
      <c r="U296" s="528"/>
    </row>
    <row r="297" spans="1:21">
      <c r="A297" s="479"/>
      <c r="B297" s="4"/>
      <c r="C297" s="536"/>
      <c r="D297" s="537"/>
      <c r="E297" s="537"/>
      <c r="F297" s="537"/>
      <c r="G297" s="537"/>
      <c r="H297" s="538"/>
      <c r="I297" s="537"/>
      <c r="J297" s="539"/>
      <c r="K297" s="536"/>
      <c r="L297" s="537"/>
      <c r="M297" s="538"/>
      <c r="N297" s="540"/>
      <c r="O297" s="536"/>
      <c r="P297" s="536"/>
      <c r="Q297" s="537"/>
      <c r="R297" s="537"/>
      <c r="S297" s="541"/>
      <c r="T297" s="536"/>
      <c r="U297" s="542"/>
    </row>
    <row r="298" spans="1:21">
      <c r="A298" s="414"/>
      <c r="B298" s="4"/>
      <c r="C298" s="543"/>
      <c r="D298" s="544"/>
      <c r="E298" s="544"/>
      <c r="F298" s="544"/>
      <c r="G298" s="544"/>
      <c r="H298" s="545"/>
      <c r="I298" s="544"/>
      <c r="J298" s="546"/>
      <c r="K298" s="543"/>
      <c r="L298" s="547"/>
      <c r="M298" s="545"/>
      <c r="N298" s="548"/>
      <c r="O298" s="543"/>
      <c r="P298" s="543"/>
      <c r="Q298" s="547"/>
      <c r="R298" s="547"/>
      <c r="S298" s="549"/>
      <c r="T298" s="543"/>
      <c r="U298" s="550"/>
    </row>
    <row r="299" spans="1:21">
      <c r="A299" s="414"/>
      <c r="B299" s="480"/>
      <c r="C299" s="510"/>
      <c r="D299" s="512"/>
      <c r="E299" s="512"/>
      <c r="F299" s="512"/>
      <c r="G299" s="512"/>
      <c r="H299" s="529"/>
      <c r="I299" s="512"/>
      <c r="J299" s="514"/>
      <c r="K299" s="510"/>
      <c r="L299" s="511"/>
      <c r="M299" s="529"/>
      <c r="N299" s="530"/>
      <c r="O299" s="510"/>
      <c r="P299" s="510"/>
      <c r="Q299" s="511"/>
      <c r="R299" s="511"/>
      <c r="S299" s="517"/>
      <c r="T299" s="510"/>
      <c r="U299" s="528"/>
    </row>
    <row r="300" spans="1:21">
      <c r="A300" s="414"/>
      <c r="B300" s="4"/>
      <c r="C300" s="536"/>
      <c r="D300" s="537"/>
      <c r="E300" s="537"/>
      <c r="F300" s="537"/>
      <c r="G300" s="537"/>
      <c r="H300" s="538"/>
      <c r="I300" s="537"/>
      <c r="J300" s="539"/>
      <c r="K300" s="536"/>
      <c r="L300" s="537"/>
      <c r="M300" s="538"/>
      <c r="N300" s="540"/>
      <c r="O300" s="536"/>
      <c r="P300" s="536"/>
      <c r="Q300" s="537"/>
      <c r="R300" s="537"/>
      <c r="S300" s="541"/>
      <c r="T300" s="536"/>
      <c r="U300" s="542"/>
    </row>
    <row r="301" spans="1:21">
      <c r="A301" s="414"/>
      <c r="B301" s="4"/>
      <c r="C301" s="543"/>
      <c r="D301" s="544"/>
      <c r="E301" s="544"/>
      <c r="F301" s="544"/>
      <c r="G301" s="544"/>
      <c r="H301" s="545"/>
      <c r="I301" s="544"/>
      <c r="J301" s="546"/>
      <c r="K301" s="543"/>
      <c r="L301" s="547"/>
      <c r="M301" s="545"/>
      <c r="N301" s="548"/>
      <c r="O301" s="543"/>
      <c r="P301" s="543"/>
      <c r="Q301" s="547"/>
      <c r="R301" s="547"/>
      <c r="S301" s="549"/>
      <c r="T301" s="543"/>
      <c r="U301" s="550"/>
    </row>
    <row r="302" spans="1:21">
      <c r="A302" s="414"/>
      <c r="B302" s="480"/>
      <c r="C302" s="510"/>
      <c r="D302" s="512"/>
      <c r="E302" s="512"/>
      <c r="F302" s="512"/>
      <c r="G302" s="512"/>
      <c r="H302" s="529"/>
      <c r="I302" s="512"/>
      <c r="J302" s="514"/>
      <c r="K302" s="510"/>
      <c r="L302" s="511"/>
      <c r="M302" s="529"/>
      <c r="N302" s="530"/>
      <c r="O302" s="510"/>
      <c r="P302" s="510"/>
      <c r="Q302" s="511"/>
      <c r="R302" s="511"/>
      <c r="S302" s="517"/>
      <c r="T302" s="510"/>
      <c r="U302" s="528"/>
    </row>
    <row r="303" spans="1:21">
      <c r="A303" s="414"/>
      <c r="B303" s="4"/>
      <c r="C303" s="536"/>
      <c r="D303" s="537"/>
      <c r="E303" s="537"/>
      <c r="F303" s="537"/>
      <c r="G303" s="537"/>
      <c r="H303" s="538"/>
      <c r="I303" s="537"/>
      <c r="J303" s="539"/>
      <c r="K303" s="536"/>
      <c r="L303" s="537"/>
      <c r="M303" s="538"/>
      <c r="N303" s="540"/>
      <c r="O303" s="536"/>
      <c r="P303" s="536"/>
      <c r="Q303" s="537"/>
      <c r="R303" s="537"/>
      <c r="S303" s="541"/>
      <c r="T303" s="536"/>
      <c r="U303" s="542"/>
    </row>
    <row r="304" spans="1:21">
      <c r="A304" s="414"/>
      <c r="B304" s="4"/>
      <c r="C304" s="543"/>
      <c r="D304" s="544"/>
      <c r="E304" s="544"/>
      <c r="F304" s="544"/>
      <c r="G304" s="544"/>
      <c r="H304" s="545"/>
      <c r="I304" s="544"/>
      <c r="J304" s="546"/>
      <c r="K304" s="543"/>
      <c r="L304" s="547"/>
      <c r="M304" s="545"/>
      <c r="N304" s="548"/>
      <c r="O304" s="543"/>
      <c r="P304" s="543"/>
      <c r="Q304" s="547"/>
      <c r="R304" s="547"/>
      <c r="S304" s="549"/>
      <c r="T304" s="543"/>
      <c r="U304" s="550"/>
    </row>
    <row r="305" spans="1:21">
      <c r="A305" s="414"/>
      <c r="B305" s="480"/>
      <c r="C305" s="510"/>
      <c r="D305" s="512"/>
      <c r="E305" s="512"/>
      <c r="F305" s="512"/>
      <c r="G305" s="512"/>
      <c r="H305" s="529"/>
      <c r="I305" s="512"/>
      <c r="J305" s="514"/>
      <c r="K305" s="510"/>
      <c r="L305" s="511"/>
      <c r="M305" s="529"/>
      <c r="N305" s="530"/>
      <c r="O305" s="510"/>
      <c r="P305" s="510"/>
      <c r="Q305" s="511"/>
      <c r="R305" s="511"/>
      <c r="S305" s="517"/>
      <c r="T305" s="510"/>
      <c r="U305" s="528"/>
    </row>
    <row r="306" spans="1:21">
      <c r="A306" s="479"/>
      <c r="B306" s="4"/>
      <c r="C306" s="536"/>
      <c r="D306" s="537"/>
      <c r="E306" s="537"/>
      <c r="F306" s="537"/>
      <c r="G306" s="537"/>
      <c r="H306" s="538"/>
      <c r="I306" s="537"/>
      <c r="J306" s="539"/>
      <c r="K306" s="536"/>
      <c r="L306" s="537"/>
      <c r="M306" s="538"/>
      <c r="N306" s="540"/>
      <c r="O306" s="536"/>
      <c r="P306" s="536"/>
      <c r="Q306" s="537"/>
      <c r="R306" s="537"/>
      <c r="S306" s="541"/>
      <c r="T306" s="536"/>
      <c r="U306" s="542"/>
    </row>
    <row r="307" spans="1:21">
      <c r="A307" s="479"/>
      <c r="B307" s="4"/>
      <c r="C307" s="543"/>
      <c r="D307" s="544"/>
      <c r="E307" s="544"/>
      <c r="F307" s="544"/>
      <c r="G307" s="544"/>
      <c r="H307" s="545"/>
      <c r="I307" s="544"/>
      <c r="J307" s="546"/>
      <c r="K307" s="543"/>
      <c r="L307" s="547"/>
      <c r="M307" s="545"/>
      <c r="N307" s="548"/>
      <c r="O307" s="543"/>
      <c r="P307" s="543"/>
      <c r="Q307" s="547"/>
      <c r="R307" s="547"/>
      <c r="S307" s="549"/>
      <c r="T307" s="543"/>
      <c r="U307" s="550"/>
    </row>
    <row r="308" spans="1:21">
      <c r="A308" s="479"/>
      <c r="B308" s="480"/>
      <c r="C308" s="510"/>
      <c r="D308" s="512"/>
      <c r="E308" s="512"/>
      <c r="F308" s="512"/>
      <c r="G308" s="512"/>
      <c r="H308" s="529"/>
      <c r="I308" s="512"/>
      <c r="J308" s="514"/>
      <c r="K308" s="510"/>
      <c r="L308" s="511"/>
      <c r="M308" s="529"/>
      <c r="N308" s="530"/>
      <c r="O308" s="510"/>
      <c r="P308" s="510"/>
      <c r="Q308" s="511"/>
      <c r="R308" s="511"/>
      <c r="S308" s="517"/>
      <c r="T308" s="510"/>
      <c r="U308" s="528"/>
    </row>
    <row r="309" spans="1:21">
      <c r="A309" s="479"/>
      <c r="B309" s="4"/>
      <c r="C309" s="536"/>
      <c r="D309" s="537"/>
      <c r="E309" s="537"/>
      <c r="F309" s="537"/>
      <c r="G309" s="537"/>
      <c r="H309" s="538"/>
      <c r="I309" s="537"/>
      <c r="J309" s="539"/>
      <c r="K309" s="536"/>
      <c r="L309" s="537"/>
      <c r="M309" s="538"/>
      <c r="N309" s="540"/>
      <c r="O309" s="536"/>
      <c r="P309" s="536"/>
      <c r="Q309" s="537"/>
      <c r="R309" s="537"/>
      <c r="S309" s="541"/>
      <c r="T309" s="536"/>
      <c r="U309" s="542"/>
    </row>
    <row r="310" spans="1:21">
      <c r="A310" s="479"/>
      <c r="B310" s="4"/>
      <c r="C310" s="543"/>
      <c r="D310" s="544"/>
      <c r="E310" s="544"/>
      <c r="F310" s="544"/>
      <c r="G310" s="544"/>
      <c r="H310" s="545"/>
      <c r="I310" s="544"/>
      <c r="J310" s="546"/>
      <c r="K310" s="543"/>
      <c r="L310" s="547"/>
      <c r="M310" s="545"/>
      <c r="N310" s="548"/>
      <c r="O310" s="543"/>
      <c r="P310" s="543"/>
      <c r="Q310" s="547"/>
      <c r="R310" s="547"/>
      <c r="S310" s="549"/>
      <c r="T310" s="543"/>
      <c r="U310" s="550"/>
    </row>
    <row r="311" spans="1:21">
      <c r="A311" s="479"/>
      <c r="B311" s="480"/>
      <c r="C311" s="510"/>
      <c r="D311" s="512"/>
      <c r="E311" s="512"/>
      <c r="F311" s="512"/>
      <c r="G311" s="512"/>
      <c r="H311" s="529"/>
      <c r="I311" s="512"/>
      <c r="J311" s="514"/>
      <c r="K311" s="510"/>
      <c r="L311" s="511"/>
      <c r="M311" s="529"/>
      <c r="N311" s="530"/>
      <c r="O311" s="510"/>
      <c r="P311" s="510"/>
      <c r="Q311" s="511"/>
      <c r="R311" s="511"/>
      <c r="S311" s="517"/>
      <c r="T311" s="510"/>
      <c r="U311" s="528"/>
    </row>
    <row r="312" spans="1:21">
      <c r="A312" s="479"/>
      <c r="B312" s="4"/>
      <c r="C312" s="536"/>
      <c r="D312" s="537"/>
      <c r="E312" s="537"/>
      <c r="F312" s="537"/>
      <c r="G312" s="537"/>
      <c r="H312" s="538"/>
      <c r="I312" s="537"/>
      <c r="J312" s="539"/>
      <c r="K312" s="536"/>
      <c r="L312" s="537"/>
      <c r="M312" s="538"/>
      <c r="N312" s="540"/>
      <c r="O312" s="536"/>
      <c r="P312" s="536"/>
      <c r="Q312" s="537"/>
      <c r="R312" s="537"/>
      <c r="S312" s="541"/>
      <c r="T312" s="536"/>
      <c r="U312" s="542"/>
    </row>
    <row r="313" spans="1:21">
      <c r="A313" s="479"/>
      <c r="B313" s="4"/>
      <c r="C313" s="543"/>
      <c r="D313" s="544"/>
      <c r="E313" s="544"/>
      <c r="F313" s="544"/>
      <c r="G313" s="544"/>
      <c r="H313" s="545"/>
      <c r="I313" s="544"/>
      <c r="J313" s="546"/>
      <c r="K313" s="543"/>
      <c r="L313" s="547"/>
      <c r="M313" s="545"/>
      <c r="N313" s="548"/>
      <c r="O313" s="543"/>
      <c r="P313" s="543"/>
      <c r="Q313" s="547"/>
      <c r="R313" s="547"/>
      <c r="S313" s="549"/>
      <c r="T313" s="543"/>
      <c r="U313" s="550"/>
    </row>
    <row r="314" spans="1:21">
      <c r="A314" s="479"/>
      <c r="B314" s="480"/>
      <c r="C314" s="510"/>
      <c r="D314" s="512"/>
      <c r="E314" s="512"/>
      <c r="F314" s="512"/>
      <c r="G314" s="512"/>
      <c r="H314" s="529"/>
      <c r="I314" s="512"/>
      <c r="J314" s="514"/>
      <c r="K314" s="510"/>
      <c r="L314" s="511"/>
      <c r="M314" s="529"/>
      <c r="N314" s="530"/>
      <c r="O314" s="510"/>
      <c r="P314" s="510"/>
      <c r="Q314" s="511"/>
      <c r="R314" s="511"/>
      <c r="S314" s="517"/>
      <c r="T314" s="510"/>
      <c r="U314" s="528"/>
    </row>
    <row r="315" spans="1:21">
      <c r="A315" s="479"/>
      <c r="B315" s="4"/>
      <c r="C315" s="536"/>
      <c r="D315" s="537"/>
      <c r="E315" s="537"/>
      <c r="F315" s="537"/>
      <c r="G315" s="537"/>
      <c r="H315" s="538"/>
      <c r="I315" s="537"/>
      <c r="J315" s="539"/>
      <c r="K315" s="536"/>
      <c r="L315" s="537"/>
      <c r="M315" s="538"/>
      <c r="N315" s="540"/>
      <c r="O315" s="536"/>
      <c r="P315" s="536"/>
      <c r="Q315" s="537"/>
      <c r="R315" s="537"/>
      <c r="S315" s="541"/>
      <c r="T315" s="536"/>
      <c r="U315" s="542"/>
    </row>
    <row r="316" spans="1:21">
      <c r="A316" s="479"/>
      <c r="B316" s="4"/>
      <c r="C316" s="543"/>
      <c r="D316" s="544"/>
      <c r="E316" s="544"/>
      <c r="F316" s="544"/>
      <c r="G316" s="544"/>
      <c r="H316" s="545"/>
      <c r="I316" s="544"/>
      <c r="J316" s="546"/>
      <c r="K316" s="543"/>
      <c r="L316" s="547"/>
      <c r="M316" s="545"/>
      <c r="N316" s="548"/>
      <c r="O316" s="543"/>
      <c r="P316" s="543"/>
      <c r="Q316" s="547"/>
      <c r="R316" s="547"/>
      <c r="S316" s="549"/>
      <c r="T316" s="543"/>
      <c r="U316" s="550"/>
    </row>
    <row r="317" spans="1:21">
      <c r="A317" s="479"/>
      <c r="B317" s="480"/>
      <c r="C317" s="510"/>
      <c r="D317" s="512"/>
      <c r="E317" s="512"/>
      <c r="F317" s="512"/>
      <c r="G317" s="512"/>
      <c r="H317" s="529"/>
      <c r="I317" s="512"/>
      <c r="J317" s="514"/>
      <c r="K317" s="510"/>
      <c r="L317" s="511"/>
      <c r="M317" s="529"/>
      <c r="N317" s="530"/>
      <c r="O317" s="510"/>
      <c r="P317" s="510"/>
      <c r="Q317" s="511"/>
      <c r="R317" s="511"/>
      <c r="S317" s="517"/>
      <c r="T317" s="510"/>
      <c r="U317" s="528"/>
    </row>
    <row r="318" spans="1:21">
      <c r="A318" s="479"/>
      <c r="B318" s="4"/>
      <c r="C318" s="536"/>
      <c r="D318" s="537"/>
      <c r="E318" s="537"/>
      <c r="F318" s="537"/>
      <c r="G318" s="537"/>
      <c r="H318" s="538"/>
      <c r="I318" s="537"/>
      <c r="J318" s="539"/>
      <c r="K318" s="536"/>
      <c r="L318" s="537"/>
      <c r="M318" s="538"/>
      <c r="N318" s="540"/>
      <c r="O318" s="536"/>
      <c r="P318" s="536"/>
      <c r="Q318" s="537"/>
      <c r="R318" s="537"/>
      <c r="S318" s="541"/>
      <c r="T318" s="536"/>
      <c r="U318" s="542"/>
    </row>
    <row r="319" spans="1:21">
      <c r="A319" s="479"/>
      <c r="B319" s="4"/>
      <c r="C319" s="543"/>
      <c r="D319" s="544"/>
      <c r="E319" s="544"/>
      <c r="F319" s="544"/>
      <c r="G319" s="544"/>
      <c r="H319" s="545"/>
      <c r="I319" s="544"/>
      <c r="J319" s="546"/>
      <c r="K319" s="543"/>
      <c r="L319" s="547"/>
      <c r="M319" s="545"/>
      <c r="N319" s="548"/>
      <c r="O319" s="543"/>
      <c r="P319" s="543"/>
      <c r="Q319" s="547"/>
      <c r="R319" s="547"/>
      <c r="S319" s="549"/>
      <c r="T319" s="543"/>
      <c r="U319" s="550"/>
    </row>
    <row r="320" spans="1:21">
      <c r="A320" s="479"/>
      <c r="B320" s="480"/>
      <c r="C320" s="510"/>
      <c r="D320" s="512"/>
      <c r="E320" s="512"/>
      <c r="F320" s="512"/>
      <c r="G320" s="512"/>
      <c r="H320" s="529"/>
      <c r="I320" s="512"/>
      <c r="J320" s="514"/>
      <c r="K320" s="510"/>
      <c r="L320" s="511"/>
      <c r="M320" s="529"/>
      <c r="N320" s="530"/>
      <c r="O320" s="510"/>
      <c r="P320" s="510"/>
      <c r="Q320" s="511"/>
      <c r="R320" s="511"/>
      <c r="S320" s="517"/>
      <c r="T320" s="510"/>
      <c r="U320" s="528"/>
    </row>
    <row r="321" spans="1:21">
      <c r="A321" s="479"/>
      <c r="B321" s="4"/>
      <c r="C321" s="536"/>
      <c r="D321" s="537"/>
      <c r="E321" s="537"/>
      <c r="F321" s="537"/>
      <c r="G321" s="537"/>
      <c r="H321" s="538"/>
      <c r="I321" s="537"/>
      <c r="J321" s="539"/>
      <c r="K321" s="536"/>
      <c r="L321" s="537"/>
      <c r="M321" s="538"/>
      <c r="N321" s="540"/>
      <c r="O321" s="536"/>
      <c r="P321" s="536"/>
      <c r="Q321" s="537"/>
      <c r="R321" s="537"/>
      <c r="S321" s="541"/>
      <c r="T321" s="536"/>
      <c r="U321" s="542"/>
    </row>
    <row r="322" spans="1:21">
      <c r="A322" s="479"/>
      <c r="B322" s="4"/>
      <c r="C322" s="543"/>
      <c r="D322" s="544"/>
      <c r="E322" s="544"/>
      <c r="F322" s="544"/>
      <c r="G322" s="544"/>
      <c r="H322" s="545"/>
      <c r="I322" s="544"/>
      <c r="J322" s="546"/>
      <c r="K322" s="543"/>
      <c r="L322" s="547"/>
      <c r="M322" s="545"/>
      <c r="N322" s="548"/>
      <c r="O322" s="543"/>
      <c r="P322" s="543"/>
      <c r="Q322" s="547"/>
      <c r="R322" s="547"/>
      <c r="S322" s="549"/>
      <c r="T322" s="543"/>
      <c r="U322" s="550"/>
    </row>
    <row r="323" spans="1:21">
      <c r="A323" s="479"/>
      <c r="B323" s="480"/>
      <c r="C323" s="510"/>
      <c r="D323" s="512"/>
      <c r="E323" s="512"/>
      <c r="F323" s="512"/>
      <c r="G323" s="512"/>
      <c r="H323" s="529"/>
      <c r="I323" s="512"/>
      <c r="J323" s="514"/>
      <c r="K323" s="510"/>
      <c r="L323" s="511"/>
      <c r="M323" s="529"/>
      <c r="N323" s="530"/>
      <c r="O323" s="510"/>
      <c r="P323" s="510"/>
      <c r="Q323" s="511"/>
      <c r="R323" s="511"/>
      <c r="S323" s="517"/>
      <c r="T323" s="510"/>
      <c r="U323" s="528"/>
    </row>
    <row r="324" spans="1:21">
      <c r="A324" s="479"/>
      <c r="B324" s="4"/>
      <c r="C324" s="536"/>
      <c r="D324" s="537"/>
      <c r="E324" s="537"/>
      <c r="F324" s="537"/>
      <c r="G324" s="537"/>
      <c r="H324" s="538"/>
      <c r="I324" s="537"/>
      <c r="J324" s="539"/>
      <c r="K324" s="536"/>
      <c r="L324" s="537"/>
      <c r="M324" s="538"/>
      <c r="N324" s="540"/>
      <c r="O324" s="536"/>
      <c r="P324" s="536"/>
      <c r="Q324" s="537"/>
      <c r="R324" s="537"/>
      <c r="S324" s="541"/>
      <c r="T324" s="536"/>
      <c r="U324" s="542"/>
    </row>
    <row r="325" spans="1:21">
      <c r="A325" s="479"/>
      <c r="B325" s="4"/>
      <c r="C325" s="543"/>
      <c r="D325" s="544"/>
      <c r="E325" s="544"/>
      <c r="F325" s="544"/>
      <c r="G325" s="544"/>
      <c r="H325" s="545"/>
      <c r="I325" s="544"/>
      <c r="J325" s="546"/>
      <c r="K325" s="543"/>
      <c r="L325" s="547"/>
      <c r="M325" s="545"/>
      <c r="N325" s="548"/>
      <c r="O325" s="543"/>
      <c r="P325" s="543"/>
      <c r="Q325" s="547"/>
      <c r="R325" s="547"/>
      <c r="S325" s="549"/>
      <c r="T325" s="543"/>
      <c r="U325" s="550"/>
    </row>
    <row r="326" spans="1:21">
      <c r="A326" s="479"/>
      <c r="B326" s="480"/>
      <c r="C326" s="551"/>
      <c r="D326" s="552"/>
      <c r="E326" s="552"/>
      <c r="F326" s="552"/>
      <c r="G326" s="552"/>
      <c r="H326" s="529"/>
      <c r="I326" s="552"/>
      <c r="J326" s="531"/>
      <c r="K326" s="551"/>
      <c r="L326" s="552"/>
      <c r="M326" s="529"/>
      <c r="N326" s="530"/>
      <c r="O326" s="551"/>
      <c r="P326" s="551"/>
      <c r="Q326" s="552"/>
      <c r="R326" s="552"/>
      <c r="S326" s="553"/>
      <c r="T326" s="551"/>
      <c r="U326" s="554"/>
    </row>
    <row r="327" spans="1:21">
      <c r="A327" s="479"/>
      <c r="B327" s="4"/>
      <c r="C327" s="506"/>
      <c r="D327" s="508"/>
      <c r="E327" s="508"/>
      <c r="F327" s="508"/>
      <c r="G327" s="508"/>
      <c r="H327" s="508"/>
      <c r="I327" s="508"/>
      <c r="J327" s="509"/>
      <c r="K327" s="506"/>
      <c r="L327" s="507"/>
      <c r="M327" s="507"/>
      <c r="N327" s="507"/>
      <c r="O327" s="506"/>
      <c r="P327" s="506"/>
      <c r="Q327" s="507"/>
      <c r="R327" s="507"/>
      <c r="S327" s="515"/>
      <c r="T327" s="506"/>
      <c r="U327" s="527"/>
    </row>
    <row r="328" spans="1:21">
      <c r="A328" s="479"/>
      <c r="B328" s="4"/>
      <c r="C328" s="506"/>
      <c r="D328" s="508"/>
      <c r="E328" s="508"/>
      <c r="F328" s="508"/>
      <c r="G328" s="508"/>
      <c r="H328" s="508"/>
      <c r="I328" s="508"/>
      <c r="J328" s="509"/>
      <c r="K328" s="506"/>
      <c r="L328" s="507"/>
      <c r="M328" s="507"/>
      <c r="N328" s="507"/>
      <c r="O328" s="506"/>
      <c r="P328" s="506"/>
      <c r="Q328" s="507"/>
      <c r="R328" s="507"/>
      <c r="S328" s="515"/>
      <c r="T328" s="506"/>
      <c r="U328" s="527"/>
    </row>
    <row r="329" spans="1:21">
      <c r="A329" s="502"/>
      <c r="B329" s="481"/>
      <c r="C329" s="510"/>
      <c r="D329" s="512"/>
      <c r="E329" s="512"/>
      <c r="F329" s="512"/>
      <c r="G329" s="512"/>
      <c r="H329" s="529"/>
      <c r="I329" s="512"/>
      <c r="J329" s="514"/>
      <c r="K329" s="510"/>
      <c r="L329" s="511"/>
      <c r="M329" s="529"/>
      <c r="N329" s="530"/>
      <c r="O329" s="510"/>
      <c r="P329" s="510"/>
      <c r="Q329" s="511"/>
      <c r="R329" s="511"/>
      <c r="S329" s="517"/>
      <c r="T329" s="510"/>
      <c r="U329" s="528"/>
    </row>
    <row r="330" spans="1:21">
      <c r="A330" s="478"/>
      <c r="B330" s="3"/>
      <c r="C330" s="536"/>
      <c r="D330" s="537"/>
      <c r="E330" s="537"/>
      <c r="F330" s="537"/>
      <c r="G330" s="537"/>
      <c r="H330" s="538"/>
      <c r="I330" s="537"/>
      <c r="J330" s="539"/>
      <c r="K330" s="536"/>
      <c r="L330" s="537"/>
      <c r="M330" s="538"/>
      <c r="N330" s="540"/>
      <c r="O330" s="536"/>
      <c r="P330" s="536"/>
      <c r="Q330" s="537"/>
      <c r="R330" s="537"/>
      <c r="S330" s="541"/>
      <c r="T330" s="536"/>
      <c r="U330" s="542"/>
    </row>
    <row r="331" spans="1:21">
      <c r="A331" s="479"/>
      <c r="B331" s="4"/>
      <c r="C331" s="543"/>
      <c r="D331" s="544"/>
      <c r="E331" s="544"/>
      <c r="F331" s="544"/>
      <c r="G331" s="544"/>
      <c r="H331" s="545"/>
      <c r="I331" s="544"/>
      <c r="J331" s="546"/>
      <c r="K331" s="543"/>
      <c r="L331" s="547"/>
      <c r="M331" s="545"/>
      <c r="N331" s="548"/>
      <c r="O331" s="543"/>
      <c r="P331" s="543"/>
      <c r="Q331" s="547"/>
      <c r="R331" s="547"/>
      <c r="S331" s="549"/>
      <c r="T331" s="543"/>
      <c r="U331" s="550"/>
    </row>
    <row r="332" spans="1:21">
      <c r="A332" s="479"/>
      <c r="B332" s="505"/>
      <c r="C332" s="510"/>
      <c r="D332" s="512"/>
      <c r="E332" s="512"/>
      <c r="F332" s="512"/>
      <c r="G332" s="512"/>
      <c r="H332" s="529"/>
      <c r="I332" s="512"/>
      <c r="J332" s="514"/>
      <c r="K332" s="510"/>
      <c r="L332" s="511"/>
      <c r="M332" s="529"/>
      <c r="N332" s="530"/>
      <c r="O332" s="510"/>
      <c r="P332" s="510"/>
      <c r="Q332" s="511"/>
      <c r="R332" s="511"/>
      <c r="S332" s="517"/>
      <c r="T332" s="510"/>
      <c r="U332" s="528"/>
    </row>
    <row r="333" spans="1:21">
      <c r="A333" s="479"/>
      <c r="B333" s="4"/>
      <c r="C333" s="536"/>
      <c r="D333" s="537"/>
      <c r="E333" s="537"/>
      <c r="F333" s="537"/>
      <c r="G333" s="537"/>
      <c r="H333" s="538"/>
      <c r="I333" s="537"/>
      <c r="J333" s="539"/>
      <c r="K333" s="536"/>
      <c r="L333" s="537"/>
      <c r="M333" s="538"/>
      <c r="N333" s="540"/>
      <c r="O333" s="536"/>
      <c r="P333" s="536"/>
      <c r="Q333" s="537"/>
      <c r="R333" s="537"/>
      <c r="S333" s="541"/>
      <c r="T333" s="536"/>
      <c r="U333" s="542"/>
    </row>
    <row r="334" spans="1:21">
      <c r="A334" s="414"/>
      <c r="B334" s="4"/>
      <c r="C334" s="543"/>
      <c r="D334" s="544"/>
      <c r="E334" s="544"/>
      <c r="F334" s="544"/>
      <c r="G334" s="544"/>
      <c r="H334" s="545"/>
      <c r="I334" s="544"/>
      <c r="J334" s="546"/>
      <c r="K334" s="543"/>
      <c r="L334" s="547"/>
      <c r="M334" s="545"/>
      <c r="N334" s="548"/>
      <c r="O334" s="543"/>
      <c r="P334" s="543"/>
      <c r="Q334" s="547"/>
      <c r="R334" s="547"/>
      <c r="S334" s="549"/>
      <c r="T334" s="543"/>
      <c r="U334" s="550"/>
    </row>
    <row r="335" spans="1:21">
      <c r="A335" s="414"/>
      <c r="B335" s="480"/>
      <c r="C335" s="510"/>
      <c r="D335" s="512"/>
      <c r="E335" s="512"/>
      <c r="F335" s="512"/>
      <c r="G335" s="512"/>
      <c r="H335" s="529"/>
      <c r="I335" s="512"/>
      <c r="J335" s="514"/>
      <c r="K335" s="510"/>
      <c r="L335" s="511"/>
      <c r="M335" s="529"/>
      <c r="N335" s="530"/>
      <c r="O335" s="510"/>
      <c r="P335" s="510"/>
      <c r="Q335" s="511"/>
      <c r="R335" s="511"/>
      <c r="S335" s="517"/>
      <c r="T335" s="510"/>
      <c r="U335" s="528"/>
    </row>
    <row r="336" spans="1:21">
      <c r="A336" s="414"/>
      <c r="B336" s="4"/>
      <c r="C336" s="536"/>
      <c r="D336" s="537"/>
      <c r="E336" s="537"/>
      <c r="F336" s="537"/>
      <c r="G336" s="537"/>
      <c r="H336" s="538"/>
      <c r="I336" s="537"/>
      <c r="J336" s="539"/>
      <c r="K336" s="536"/>
      <c r="L336" s="537"/>
      <c r="M336" s="538"/>
      <c r="N336" s="540"/>
      <c r="O336" s="536"/>
      <c r="P336" s="536"/>
      <c r="Q336" s="537"/>
      <c r="R336" s="537"/>
      <c r="S336" s="541"/>
      <c r="T336" s="536"/>
      <c r="U336" s="542"/>
    </row>
    <row r="337" spans="1:21">
      <c r="A337" s="414"/>
      <c r="B337" s="4"/>
      <c r="C337" s="543"/>
      <c r="D337" s="544"/>
      <c r="E337" s="544"/>
      <c r="F337" s="544"/>
      <c r="G337" s="544"/>
      <c r="H337" s="545"/>
      <c r="I337" s="544"/>
      <c r="J337" s="546"/>
      <c r="K337" s="543"/>
      <c r="L337" s="547"/>
      <c r="M337" s="545"/>
      <c r="N337" s="548"/>
      <c r="O337" s="543"/>
      <c r="P337" s="543"/>
      <c r="Q337" s="547"/>
      <c r="R337" s="547"/>
      <c r="S337" s="549"/>
      <c r="T337" s="543"/>
      <c r="U337" s="550"/>
    </row>
    <row r="338" spans="1:21">
      <c r="A338" s="414"/>
      <c r="B338" s="480"/>
      <c r="C338" s="510"/>
      <c r="D338" s="512"/>
      <c r="E338" s="512"/>
      <c r="F338" s="512"/>
      <c r="G338" s="512"/>
      <c r="H338" s="529"/>
      <c r="I338" s="512"/>
      <c r="J338" s="514"/>
      <c r="K338" s="510"/>
      <c r="L338" s="511"/>
      <c r="M338" s="529"/>
      <c r="N338" s="530"/>
      <c r="O338" s="510"/>
      <c r="P338" s="510"/>
      <c r="Q338" s="511"/>
      <c r="R338" s="511"/>
      <c r="S338" s="517"/>
      <c r="T338" s="510"/>
      <c r="U338" s="528"/>
    </row>
    <row r="339" spans="1:21">
      <c r="A339" s="414"/>
      <c r="B339" s="4"/>
      <c r="C339" s="536"/>
      <c r="D339" s="537"/>
      <c r="E339" s="537"/>
      <c r="F339" s="537"/>
      <c r="G339" s="537"/>
      <c r="H339" s="538"/>
      <c r="I339" s="537"/>
      <c r="J339" s="539"/>
      <c r="K339" s="536"/>
      <c r="L339" s="537"/>
      <c r="M339" s="538"/>
      <c r="N339" s="540"/>
      <c r="O339" s="536"/>
      <c r="P339" s="536"/>
      <c r="Q339" s="537"/>
      <c r="R339" s="537"/>
      <c r="S339" s="541"/>
      <c r="T339" s="536"/>
      <c r="U339" s="542"/>
    </row>
    <row r="340" spans="1:21">
      <c r="A340" s="414"/>
      <c r="B340" s="4"/>
      <c r="C340" s="543"/>
      <c r="D340" s="544"/>
      <c r="E340" s="544"/>
      <c r="F340" s="544"/>
      <c r="G340" s="544"/>
      <c r="H340" s="545"/>
      <c r="I340" s="544"/>
      <c r="J340" s="546"/>
      <c r="K340" s="543"/>
      <c r="L340" s="547"/>
      <c r="M340" s="545"/>
      <c r="N340" s="548"/>
      <c r="O340" s="543"/>
      <c r="P340" s="543"/>
      <c r="Q340" s="547"/>
      <c r="R340" s="547"/>
      <c r="S340" s="549"/>
      <c r="T340" s="543"/>
      <c r="U340" s="550"/>
    </row>
    <row r="341" spans="1:21">
      <c r="A341" s="414"/>
      <c r="B341" s="480"/>
      <c r="C341" s="510"/>
      <c r="D341" s="512"/>
      <c r="E341" s="512"/>
      <c r="F341" s="512"/>
      <c r="G341" s="512"/>
      <c r="H341" s="529"/>
      <c r="I341" s="512"/>
      <c r="J341" s="514"/>
      <c r="K341" s="510"/>
      <c r="L341" s="511"/>
      <c r="M341" s="529"/>
      <c r="N341" s="530"/>
      <c r="O341" s="510"/>
      <c r="P341" s="510"/>
      <c r="Q341" s="511"/>
      <c r="R341" s="511"/>
      <c r="S341" s="517"/>
      <c r="T341" s="510"/>
      <c r="U341" s="528"/>
    </row>
    <row r="342" spans="1:21">
      <c r="A342" s="479"/>
      <c r="B342" s="4"/>
      <c r="C342" s="536"/>
      <c r="D342" s="537"/>
      <c r="E342" s="537"/>
      <c r="F342" s="537"/>
      <c r="G342" s="537"/>
      <c r="H342" s="538"/>
      <c r="I342" s="537"/>
      <c r="J342" s="539"/>
      <c r="K342" s="536"/>
      <c r="L342" s="537"/>
      <c r="M342" s="538"/>
      <c r="N342" s="540"/>
      <c r="O342" s="536"/>
      <c r="P342" s="536"/>
      <c r="Q342" s="537"/>
      <c r="R342" s="537"/>
      <c r="S342" s="541"/>
      <c r="T342" s="536"/>
      <c r="U342" s="542"/>
    </row>
    <row r="343" spans="1:21">
      <c r="A343" s="479"/>
      <c r="B343" s="4"/>
      <c r="C343" s="543"/>
      <c r="D343" s="544"/>
      <c r="E343" s="544"/>
      <c r="F343" s="544"/>
      <c r="G343" s="544"/>
      <c r="H343" s="545"/>
      <c r="I343" s="544"/>
      <c r="J343" s="546"/>
      <c r="K343" s="543"/>
      <c r="L343" s="547"/>
      <c r="M343" s="545"/>
      <c r="N343" s="548"/>
      <c r="O343" s="543"/>
      <c r="P343" s="543"/>
      <c r="Q343" s="547"/>
      <c r="R343" s="547"/>
      <c r="S343" s="549"/>
      <c r="T343" s="543"/>
      <c r="U343" s="550"/>
    </row>
    <row r="344" spans="1:21">
      <c r="A344" s="479"/>
      <c r="B344" s="480"/>
      <c r="C344" s="510"/>
      <c r="D344" s="512"/>
      <c r="E344" s="512"/>
      <c r="F344" s="512"/>
      <c r="G344" s="512"/>
      <c r="H344" s="529"/>
      <c r="I344" s="512"/>
      <c r="J344" s="514"/>
      <c r="K344" s="510"/>
      <c r="L344" s="511"/>
      <c r="M344" s="529"/>
      <c r="N344" s="530"/>
      <c r="O344" s="510"/>
      <c r="P344" s="510"/>
      <c r="Q344" s="511"/>
      <c r="R344" s="511"/>
      <c r="S344" s="517"/>
      <c r="T344" s="510"/>
      <c r="U344" s="528"/>
    </row>
    <row r="345" spans="1:21">
      <c r="A345" s="479"/>
      <c r="B345" s="4"/>
      <c r="C345" s="536"/>
      <c r="D345" s="537"/>
      <c r="E345" s="537"/>
      <c r="F345" s="537"/>
      <c r="G345" s="537"/>
      <c r="H345" s="538"/>
      <c r="I345" s="537"/>
      <c r="J345" s="539"/>
      <c r="K345" s="536"/>
      <c r="L345" s="537"/>
      <c r="M345" s="538"/>
      <c r="N345" s="540"/>
      <c r="O345" s="536"/>
      <c r="P345" s="536"/>
      <c r="Q345" s="537"/>
      <c r="R345" s="537"/>
      <c r="S345" s="541"/>
      <c r="T345" s="536"/>
      <c r="U345" s="542"/>
    </row>
    <row r="346" spans="1:21">
      <c r="A346" s="479"/>
      <c r="B346" s="4"/>
      <c r="C346" s="543"/>
      <c r="D346" s="544"/>
      <c r="E346" s="544"/>
      <c r="F346" s="544"/>
      <c r="G346" s="544"/>
      <c r="H346" s="545"/>
      <c r="I346" s="544"/>
      <c r="J346" s="546"/>
      <c r="K346" s="543"/>
      <c r="L346" s="547"/>
      <c r="M346" s="545"/>
      <c r="N346" s="548"/>
      <c r="O346" s="543"/>
      <c r="P346" s="543"/>
      <c r="Q346" s="547"/>
      <c r="R346" s="547"/>
      <c r="S346" s="549"/>
      <c r="T346" s="543"/>
      <c r="U346" s="550"/>
    </row>
    <row r="347" spans="1:21">
      <c r="A347" s="479"/>
      <c r="B347" s="480"/>
      <c r="C347" s="510"/>
      <c r="D347" s="512"/>
      <c r="E347" s="512"/>
      <c r="F347" s="512"/>
      <c r="G347" s="512"/>
      <c r="H347" s="529"/>
      <c r="I347" s="512"/>
      <c r="J347" s="514"/>
      <c r="K347" s="510"/>
      <c r="L347" s="511"/>
      <c r="M347" s="529"/>
      <c r="N347" s="530"/>
      <c r="O347" s="510"/>
      <c r="P347" s="510"/>
      <c r="Q347" s="511"/>
      <c r="R347" s="511"/>
      <c r="S347" s="517"/>
      <c r="T347" s="510"/>
      <c r="U347" s="528"/>
    </row>
    <row r="348" spans="1:21">
      <c r="A348" s="479"/>
      <c r="B348" s="4"/>
      <c r="C348" s="536"/>
      <c r="D348" s="537"/>
      <c r="E348" s="537"/>
      <c r="F348" s="537"/>
      <c r="G348" s="537"/>
      <c r="H348" s="538"/>
      <c r="I348" s="537"/>
      <c r="J348" s="539"/>
      <c r="K348" s="536"/>
      <c r="L348" s="537"/>
      <c r="M348" s="538"/>
      <c r="N348" s="540"/>
      <c r="O348" s="536"/>
      <c r="P348" s="536"/>
      <c r="Q348" s="537"/>
      <c r="R348" s="537"/>
      <c r="S348" s="541"/>
      <c r="T348" s="536"/>
      <c r="U348" s="542"/>
    </row>
    <row r="349" spans="1:21">
      <c r="A349" s="479"/>
      <c r="B349" s="4"/>
      <c r="C349" s="543"/>
      <c r="D349" s="544"/>
      <c r="E349" s="544"/>
      <c r="F349" s="544"/>
      <c r="G349" s="544"/>
      <c r="H349" s="545"/>
      <c r="I349" s="544"/>
      <c r="J349" s="546"/>
      <c r="K349" s="543"/>
      <c r="L349" s="547"/>
      <c r="M349" s="545"/>
      <c r="N349" s="548"/>
      <c r="O349" s="543"/>
      <c r="P349" s="543"/>
      <c r="Q349" s="547"/>
      <c r="R349" s="547"/>
      <c r="S349" s="549"/>
      <c r="T349" s="543"/>
      <c r="U349" s="550"/>
    </row>
    <row r="350" spans="1:21">
      <c r="A350" s="479"/>
      <c r="B350" s="480"/>
      <c r="C350" s="510"/>
      <c r="D350" s="512"/>
      <c r="E350" s="512"/>
      <c r="F350" s="512"/>
      <c r="G350" s="512"/>
      <c r="H350" s="529"/>
      <c r="I350" s="512"/>
      <c r="J350" s="514"/>
      <c r="K350" s="510"/>
      <c r="L350" s="511"/>
      <c r="M350" s="529"/>
      <c r="N350" s="530"/>
      <c r="O350" s="510"/>
      <c r="P350" s="510"/>
      <c r="Q350" s="511"/>
      <c r="R350" s="511"/>
      <c r="S350" s="517"/>
      <c r="T350" s="510"/>
      <c r="U350" s="528"/>
    </row>
    <row r="351" spans="1:21">
      <c r="A351" s="479"/>
      <c r="B351" s="4"/>
      <c r="C351" s="536"/>
      <c r="D351" s="537"/>
      <c r="E351" s="537"/>
      <c r="F351" s="537"/>
      <c r="G351" s="537"/>
      <c r="H351" s="538"/>
      <c r="I351" s="537"/>
      <c r="J351" s="539"/>
      <c r="K351" s="536"/>
      <c r="L351" s="537"/>
      <c r="M351" s="538"/>
      <c r="N351" s="540"/>
      <c r="O351" s="536"/>
      <c r="P351" s="536"/>
      <c r="Q351" s="537"/>
      <c r="R351" s="537"/>
      <c r="S351" s="541"/>
      <c r="T351" s="536"/>
      <c r="U351" s="542"/>
    </row>
    <row r="352" spans="1:21">
      <c r="A352" s="479"/>
      <c r="B352" s="4"/>
      <c r="C352" s="543"/>
      <c r="D352" s="544"/>
      <c r="E352" s="544"/>
      <c r="F352" s="544"/>
      <c r="G352" s="544"/>
      <c r="H352" s="545"/>
      <c r="I352" s="544"/>
      <c r="J352" s="546"/>
      <c r="K352" s="543"/>
      <c r="L352" s="547"/>
      <c r="M352" s="545"/>
      <c r="N352" s="548"/>
      <c r="O352" s="543"/>
      <c r="P352" s="543"/>
      <c r="Q352" s="547"/>
      <c r="R352" s="547"/>
      <c r="S352" s="549"/>
      <c r="T352" s="543"/>
      <c r="U352" s="550"/>
    </row>
    <row r="353" spans="1:21">
      <c r="A353" s="479"/>
      <c r="B353" s="480"/>
      <c r="C353" s="510"/>
      <c r="D353" s="512"/>
      <c r="E353" s="512"/>
      <c r="F353" s="512"/>
      <c r="G353" s="512"/>
      <c r="H353" s="529"/>
      <c r="I353" s="512"/>
      <c r="J353" s="514"/>
      <c r="K353" s="510"/>
      <c r="L353" s="511"/>
      <c r="M353" s="529"/>
      <c r="N353" s="530"/>
      <c r="O353" s="510"/>
      <c r="P353" s="510"/>
      <c r="Q353" s="511"/>
      <c r="R353" s="511"/>
      <c r="S353" s="517"/>
      <c r="T353" s="510"/>
      <c r="U353" s="528"/>
    </row>
    <row r="354" spans="1:21">
      <c r="A354" s="479"/>
      <c r="B354" s="4"/>
      <c r="C354" s="536"/>
      <c r="D354" s="537"/>
      <c r="E354" s="537"/>
      <c r="F354" s="537"/>
      <c r="G354" s="537"/>
      <c r="H354" s="538"/>
      <c r="I354" s="537"/>
      <c r="J354" s="539"/>
      <c r="K354" s="536"/>
      <c r="L354" s="537"/>
      <c r="M354" s="538"/>
      <c r="N354" s="540"/>
      <c r="O354" s="536"/>
      <c r="P354" s="536"/>
      <c r="Q354" s="537"/>
      <c r="R354" s="537"/>
      <c r="S354" s="541"/>
      <c r="T354" s="536"/>
      <c r="U354" s="542"/>
    </row>
    <row r="355" spans="1:21">
      <c r="A355" s="479"/>
      <c r="B355" s="4"/>
      <c r="C355" s="543"/>
      <c r="D355" s="544"/>
      <c r="E355" s="544"/>
      <c r="F355" s="544"/>
      <c r="G355" s="544"/>
      <c r="H355" s="545"/>
      <c r="I355" s="544"/>
      <c r="J355" s="546"/>
      <c r="K355" s="543"/>
      <c r="L355" s="547"/>
      <c r="M355" s="545"/>
      <c r="N355" s="548"/>
      <c r="O355" s="543"/>
      <c r="P355" s="543"/>
      <c r="Q355" s="547"/>
      <c r="R355" s="547"/>
      <c r="S355" s="549"/>
      <c r="T355" s="543"/>
      <c r="U355" s="550"/>
    </row>
    <row r="356" spans="1:21">
      <c r="A356" s="479"/>
      <c r="B356" s="480"/>
      <c r="C356" s="510"/>
      <c r="D356" s="512"/>
      <c r="E356" s="512"/>
      <c r="F356" s="512"/>
      <c r="G356" s="512"/>
      <c r="H356" s="529"/>
      <c r="I356" s="512"/>
      <c r="J356" s="514"/>
      <c r="K356" s="510"/>
      <c r="L356" s="511"/>
      <c r="M356" s="529"/>
      <c r="N356" s="530"/>
      <c r="O356" s="510"/>
      <c r="P356" s="510"/>
      <c r="Q356" s="511"/>
      <c r="R356" s="511"/>
      <c r="S356" s="517"/>
      <c r="T356" s="510"/>
      <c r="U356" s="528"/>
    </row>
    <row r="357" spans="1:21">
      <c r="A357" s="479"/>
      <c r="B357" s="4"/>
      <c r="C357" s="536"/>
      <c r="D357" s="537"/>
      <c r="E357" s="537"/>
      <c r="F357" s="537"/>
      <c r="G357" s="537"/>
      <c r="H357" s="538"/>
      <c r="I357" s="537"/>
      <c r="J357" s="539"/>
      <c r="K357" s="536"/>
      <c r="L357" s="537"/>
      <c r="M357" s="538"/>
      <c r="N357" s="540"/>
      <c r="O357" s="536"/>
      <c r="P357" s="536"/>
      <c r="Q357" s="537"/>
      <c r="R357" s="537"/>
      <c r="S357" s="541"/>
      <c r="T357" s="536"/>
      <c r="U357" s="542"/>
    </row>
    <row r="358" spans="1:21">
      <c r="A358" s="479"/>
      <c r="B358" s="4"/>
      <c r="C358" s="543"/>
      <c r="D358" s="544"/>
      <c r="E358" s="544"/>
      <c r="F358" s="544"/>
      <c r="G358" s="544"/>
      <c r="H358" s="545"/>
      <c r="I358" s="544"/>
      <c r="J358" s="546"/>
      <c r="K358" s="543"/>
      <c r="L358" s="547"/>
      <c r="M358" s="545"/>
      <c r="N358" s="548"/>
      <c r="O358" s="543"/>
      <c r="P358" s="543"/>
      <c r="Q358" s="547"/>
      <c r="R358" s="547"/>
      <c r="S358" s="549"/>
      <c r="T358" s="543"/>
      <c r="U358" s="550"/>
    </row>
    <row r="359" spans="1:21">
      <c r="A359" s="479"/>
      <c r="B359" s="480"/>
      <c r="C359" s="510"/>
      <c r="D359" s="512"/>
      <c r="E359" s="512"/>
      <c r="F359" s="512"/>
      <c r="G359" s="512"/>
      <c r="H359" s="529"/>
      <c r="I359" s="512"/>
      <c r="J359" s="514"/>
      <c r="K359" s="510"/>
      <c r="L359" s="511"/>
      <c r="M359" s="529"/>
      <c r="N359" s="530"/>
      <c r="O359" s="510"/>
      <c r="P359" s="510"/>
      <c r="Q359" s="511"/>
      <c r="R359" s="511"/>
      <c r="S359" s="517"/>
      <c r="T359" s="510"/>
      <c r="U359" s="528"/>
    </row>
    <row r="360" spans="1:21">
      <c r="A360" s="479"/>
      <c r="B360" s="4"/>
      <c r="C360" s="536"/>
      <c r="D360" s="537"/>
      <c r="E360" s="537"/>
      <c r="F360" s="537"/>
      <c r="G360" s="537"/>
      <c r="H360" s="538"/>
      <c r="I360" s="537"/>
      <c r="J360" s="539"/>
      <c r="K360" s="536"/>
      <c r="L360" s="537"/>
      <c r="M360" s="538"/>
      <c r="N360" s="540"/>
      <c r="O360" s="536"/>
      <c r="P360" s="536"/>
      <c r="Q360" s="537"/>
      <c r="R360" s="537"/>
      <c r="S360" s="541"/>
      <c r="T360" s="536"/>
      <c r="U360" s="542"/>
    </row>
    <row r="361" spans="1:21">
      <c r="A361" s="479"/>
      <c r="B361" s="4"/>
      <c r="C361" s="543"/>
      <c r="D361" s="544"/>
      <c r="E361" s="544"/>
      <c r="F361" s="544"/>
      <c r="G361" s="544"/>
      <c r="H361" s="545"/>
      <c r="I361" s="544"/>
      <c r="J361" s="546"/>
      <c r="K361" s="543"/>
      <c r="L361" s="547"/>
      <c r="M361" s="545"/>
      <c r="N361" s="548"/>
      <c r="O361" s="543"/>
      <c r="P361" s="543"/>
      <c r="Q361" s="547"/>
      <c r="R361" s="547"/>
      <c r="S361" s="549"/>
      <c r="T361" s="543"/>
      <c r="U361" s="550"/>
    </row>
    <row r="362" spans="1:21">
      <c r="A362" s="479"/>
      <c r="B362" s="480"/>
      <c r="C362" s="551"/>
      <c r="D362" s="552"/>
      <c r="E362" s="552"/>
      <c r="F362" s="552"/>
      <c r="G362" s="552"/>
      <c r="H362" s="529"/>
      <c r="I362" s="552"/>
      <c r="J362" s="531"/>
      <c r="K362" s="551"/>
      <c r="L362" s="552"/>
      <c r="M362" s="529"/>
      <c r="N362" s="530"/>
      <c r="O362" s="551"/>
      <c r="P362" s="551"/>
      <c r="Q362" s="552"/>
      <c r="R362" s="552"/>
      <c r="S362" s="553"/>
      <c r="T362" s="551"/>
      <c r="U362" s="554"/>
    </row>
    <row r="363" spans="1:21">
      <c r="A363" s="479"/>
      <c r="B363" s="4"/>
      <c r="C363" s="506"/>
      <c r="D363" s="508"/>
      <c r="E363" s="508"/>
      <c r="F363" s="508"/>
      <c r="G363" s="508"/>
      <c r="H363" s="508"/>
      <c r="I363" s="508"/>
      <c r="J363" s="509"/>
      <c r="K363" s="506"/>
      <c r="L363" s="507"/>
      <c r="M363" s="507"/>
      <c r="N363" s="507"/>
      <c r="O363" s="506"/>
      <c r="P363" s="506"/>
      <c r="Q363" s="507"/>
      <c r="R363" s="507"/>
      <c r="S363" s="515"/>
      <c r="T363" s="506"/>
      <c r="U363" s="527"/>
    </row>
    <row r="364" spans="1:21">
      <c r="A364" s="479"/>
      <c r="B364" s="4"/>
      <c r="C364" s="506"/>
      <c r="D364" s="508"/>
      <c r="E364" s="508"/>
      <c r="F364" s="508"/>
      <c r="G364" s="508"/>
      <c r="H364" s="508"/>
      <c r="I364" s="508"/>
      <c r="J364" s="509"/>
      <c r="K364" s="506"/>
      <c r="L364" s="507"/>
      <c r="M364" s="507"/>
      <c r="N364" s="507"/>
      <c r="O364" s="506"/>
      <c r="P364" s="506"/>
      <c r="Q364" s="507"/>
      <c r="R364" s="507"/>
      <c r="S364" s="515"/>
      <c r="T364" s="506"/>
      <c r="U364" s="527"/>
    </row>
    <row r="365" spans="1:21">
      <c r="A365" s="502"/>
      <c r="B365" s="481"/>
      <c r="C365" s="510"/>
      <c r="D365" s="512"/>
      <c r="E365" s="512"/>
      <c r="F365" s="512"/>
      <c r="G365" s="512"/>
      <c r="H365" s="529"/>
      <c r="I365" s="512"/>
      <c r="J365" s="514"/>
      <c r="K365" s="510"/>
      <c r="L365" s="511"/>
      <c r="M365" s="529"/>
      <c r="N365" s="530"/>
      <c r="O365" s="510"/>
      <c r="P365" s="510"/>
      <c r="Q365" s="511"/>
      <c r="R365" s="511"/>
      <c r="S365" s="517"/>
      <c r="T365" s="510"/>
      <c r="U365" s="528"/>
    </row>
    <row r="366" spans="1:21">
      <c r="A366" s="478"/>
      <c r="B366" s="3"/>
      <c r="C366" s="536"/>
      <c r="D366" s="537"/>
      <c r="E366" s="537"/>
      <c r="F366" s="537"/>
      <c r="G366" s="537"/>
      <c r="H366" s="538"/>
      <c r="I366" s="537"/>
      <c r="J366" s="539"/>
      <c r="K366" s="536"/>
      <c r="L366" s="537"/>
      <c r="M366" s="538"/>
      <c r="N366" s="540"/>
      <c r="O366" s="536"/>
      <c r="P366" s="536"/>
      <c r="Q366" s="537"/>
      <c r="R366" s="537"/>
      <c r="S366" s="541"/>
      <c r="T366" s="536"/>
      <c r="U366" s="542"/>
    </row>
    <row r="367" spans="1:21">
      <c r="A367" s="479"/>
      <c r="B367" s="4"/>
      <c r="C367" s="543"/>
      <c r="D367" s="544"/>
      <c r="E367" s="544"/>
      <c r="F367" s="544"/>
      <c r="G367" s="544"/>
      <c r="H367" s="545"/>
      <c r="I367" s="544"/>
      <c r="J367" s="546"/>
      <c r="K367" s="543"/>
      <c r="L367" s="547"/>
      <c r="M367" s="545"/>
      <c r="N367" s="548"/>
      <c r="O367" s="543"/>
      <c r="P367" s="543"/>
      <c r="Q367" s="547"/>
      <c r="R367" s="547"/>
      <c r="S367" s="549"/>
      <c r="T367" s="543"/>
      <c r="U367" s="550"/>
    </row>
    <row r="368" spans="1:21">
      <c r="A368" s="479"/>
      <c r="B368" s="505"/>
      <c r="C368" s="510"/>
      <c r="D368" s="512"/>
      <c r="E368" s="512"/>
      <c r="F368" s="512"/>
      <c r="G368" s="512"/>
      <c r="H368" s="529"/>
      <c r="I368" s="512"/>
      <c r="J368" s="514"/>
      <c r="K368" s="510"/>
      <c r="L368" s="511"/>
      <c r="M368" s="529"/>
      <c r="N368" s="530"/>
      <c r="O368" s="510"/>
      <c r="P368" s="510"/>
      <c r="Q368" s="511"/>
      <c r="R368" s="511"/>
      <c r="S368" s="517"/>
      <c r="T368" s="510"/>
      <c r="U368" s="528"/>
    </row>
    <row r="369" spans="1:21">
      <c r="A369" s="479"/>
      <c r="B369" s="4"/>
      <c r="C369" s="536"/>
      <c r="D369" s="537"/>
      <c r="E369" s="537"/>
      <c r="F369" s="537"/>
      <c r="G369" s="537"/>
      <c r="H369" s="538"/>
      <c r="I369" s="537"/>
      <c r="J369" s="539"/>
      <c r="K369" s="536"/>
      <c r="L369" s="537"/>
      <c r="M369" s="538"/>
      <c r="N369" s="540"/>
      <c r="O369" s="536"/>
      <c r="P369" s="536"/>
      <c r="Q369" s="537"/>
      <c r="R369" s="537"/>
      <c r="S369" s="541"/>
      <c r="T369" s="536"/>
      <c r="U369" s="542"/>
    </row>
    <row r="370" spans="1:21">
      <c r="A370" s="414"/>
      <c r="B370" s="4"/>
      <c r="C370" s="543"/>
      <c r="D370" s="544"/>
      <c r="E370" s="544"/>
      <c r="F370" s="544"/>
      <c r="G370" s="544"/>
      <c r="H370" s="545"/>
      <c r="I370" s="544"/>
      <c r="J370" s="546"/>
      <c r="K370" s="543"/>
      <c r="L370" s="547"/>
      <c r="M370" s="545"/>
      <c r="N370" s="548"/>
      <c r="O370" s="543"/>
      <c r="P370" s="543"/>
      <c r="Q370" s="547"/>
      <c r="R370" s="547"/>
      <c r="S370" s="549"/>
      <c r="T370" s="543"/>
      <c r="U370" s="550"/>
    </row>
    <row r="371" spans="1:21">
      <c r="A371" s="414"/>
      <c r="B371" s="480"/>
      <c r="C371" s="510"/>
      <c r="D371" s="512"/>
      <c r="E371" s="512"/>
      <c r="F371" s="512"/>
      <c r="G371" s="512"/>
      <c r="H371" s="529"/>
      <c r="I371" s="512"/>
      <c r="J371" s="514"/>
      <c r="K371" s="510"/>
      <c r="L371" s="511"/>
      <c r="M371" s="529"/>
      <c r="N371" s="530"/>
      <c r="O371" s="510"/>
      <c r="P371" s="510"/>
      <c r="Q371" s="511"/>
      <c r="R371" s="511"/>
      <c r="S371" s="517"/>
      <c r="T371" s="510"/>
      <c r="U371" s="528"/>
    </row>
    <row r="372" spans="1:21">
      <c r="A372" s="414"/>
      <c r="B372" s="4"/>
      <c r="C372" s="536"/>
      <c r="D372" s="537"/>
      <c r="E372" s="537"/>
      <c r="F372" s="537"/>
      <c r="G372" s="537"/>
      <c r="H372" s="538"/>
      <c r="I372" s="537"/>
      <c r="J372" s="539"/>
      <c r="K372" s="536"/>
      <c r="L372" s="537"/>
      <c r="M372" s="538"/>
      <c r="N372" s="540"/>
      <c r="O372" s="536"/>
      <c r="P372" s="536"/>
      <c r="Q372" s="537"/>
      <c r="R372" s="537"/>
      <c r="S372" s="541"/>
      <c r="T372" s="536"/>
      <c r="U372" s="542"/>
    </row>
    <row r="373" spans="1:21">
      <c r="A373" s="414"/>
      <c r="B373" s="4"/>
      <c r="C373" s="543"/>
      <c r="D373" s="544"/>
      <c r="E373" s="544"/>
      <c r="F373" s="544"/>
      <c r="G373" s="544"/>
      <c r="H373" s="545"/>
      <c r="I373" s="544"/>
      <c r="J373" s="546"/>
      <c r="K373" s="543"/>
      <c r="L373" s="547"/>
      <c r="M373" s="545"/>
      <c r="N373" s="548"/>
      <c r="O373" s="543"/>
      <c r="P373" s="543"/>
      <c r="Q373" s="547"/>
      <c r="R373" s="547"/>
      <c r="S373" s="549"/>
      <c r="T373" s="543"/>
      <c r="U373" s="550"/>
    </row>
    <row r="374" spans="1:21">
      <c r="A374" s="414"/>
      <c r="B374" s="480"/>
      <c r="C374" s="510"/>
      <c r="D374" s="512"/>
      <c r="E374" s="512"/>
      <c r="F374" s="512"/>
      <c r="G374" s="512"/>
      <c r="H374" s="529"/>
      <c r="I374" s="512"/>
      <c r="J374" s="514"/>
      <c r="K374" s="510"/>
      <c r="L374" s="511"/>
      <c r="M374" s="529"/>
      <c r="N374" s="530"/>
      <c r="O374" s="510"/>
      <c r="P374" s="510"/>
      <c r="Q374" s="511"/>
      <c r="R374" s="511"/>
      <c r="S374" s="517"/>
      <c r="T374" s="510"/>
      <c r="U374" s="528"/>
    </row>
    <row r="375" spans="1:21">
      <c r="A375" s="414"/>
      <c r="B375" s="4"/>
      <c r="C375" s="536"/>
      <c r="D375" s="537"/>
      <c r="E375" s="537"/>
      <c r="F375" s="537"/>
      <c r="G375" s="537"/>
      <c r="H375" s="538"/>
      <c r="I375" s="537"/>
      <c r="J375" s="539"/>
      <c r="K375" s="536"/>
      <c r="L375" s="537"/>
      <c r="M375" s="538"/>
      <c r="N375" s="540"/>
      <c r="O375" s="536"/>
      <c r="P375" s="536"/>
      <c r="Q375" s="537"/>
      <c r="R375" s="537"/>
      <c r="S375" s="541"/>
      <c r="T375" s="536"/>
      <c r="U375" s="542"/>
    </row>
    <row r="376" spans="1:21">
      <c r="A376" s="414"/>
      <c r="B376" s="4"/>
      <c r="C376" s="543"/>
      <c r="D376" s="544"/>
      <c r="E376" s="544"/>
      <c r="F376" s="544"/>
      <c r="G376" s="544"/>
      <c r="H376" s="545"/>
      <c r="I376" s="544"/>
      <c r="J376" s="546"/>
      <c r="K376" s="543"/>
      <c r="L376" s="547"/>
      <c r="M376" s="545"/>
      <c r="N376" s="548"/>
      <c r="O376" s="543"/>
      <c r="P376" s="543"/>
      <c r="Q376" s="547"/>
      <c r="R376" s="547"/>
      <c r="S376" s="549"/>
      <c r="T376" s="543"/>
      <c r="U376" s="550"/>
    </row>
    <row r="377" spans="1:21">
      <c r="A377" s="414"/>
      <c r="B377" s="480"/>
      <c r="C377" s="510"/>
      <c r="D377" s="512"/>
      <c r="E377" s="512"/>
      <c r="F377" s="512"/>
      <c r="G377" s="512"/>
      <c r="H377" s="529"/>
      <c r="I377" s="512"/>
      <c r="J377" s="514"/>
      <c r="K377" s="510"/>
      <c r="L377" s="511"/>
      <c r="M377" s="529"/>
      <c r="N377" s="530"/>
      <c r="O377" s="510"/>
      <c r="P377" s="510"/>
      <c r="Q377" s="511"/>
      <c r="R377" s="511"/>
      <c r="S377" s="517"/>
      <c r="T377" s="510"/>
      <c r="U377" s="528"/>
    </row>
    <row r="378" spans="1:21">
      <c r="A378" s="479"/>
      <c r="B378" s="4"/>
      <c r="C378" s="536"/>
      <c r="D378" s="537"/>
      <c r="E378" s="537"/>
      <c r="F378" s="537"/>
      <c r="G378" s="537"/>
      <c r="H378" s="538"/>
      <c r="I378" s="537"/>
      <c r="J378" s="539"/>
      <c r="K378" s="536"/>
      <c r="L378" s="537"/>
      <c r="M378" s="538"/>
      <c r="N378" s="540"/>
      <c r="O378" s="536"/>
      <c r="P378" s="536"/>
      <c r="Q378" s="537"/>
      <c r="R378" s="537"/>
      <c r="S378" s="541"/>
      <c r="T378" s="536"/>
      <c r="U378" s="542"/>
    </row>
    <row r="379" spans="1:21">
      <c r="A379" s="479"/>
      <c r="B379" s="4"/>
      <c r="C379" s="543"/>
      <c r="D379" s="544"/>
      <c r="E379" s="544"/>
      <c r="F379" s="544"/>
      <c r="G379" s="544"/>
      <c r="H379" s="545"/>
      <c r="I379" s="544"/>
      <c r="J379" s="546"/>
      <c r="K379" s="543"/>
      <c r="L379" s="547"/>
      <c r="M379" s="545"/>
      <c r="N379" s="548"/>
      <c r="O379" s="543"/>
      <c r="P379" s="543"/>
      <c r="Q379" s="547"/>
      <c r="R379" s="547"/>
      <c r="S379" s="549"/>
      <c r="T379" s="543"/>
      <c r="U379" s="550"/>
    </row>
    <row r="380" spans="1:21">
      <c r="A380" s="479"/>
      <c r="B380" s="480"/>
      <c r="C380" s="510"/>
      <c r="D380" s="512"/>
      <c r="E380" s="512"/>
      <c r="F380" s="512"/>
      <c r="G380" s="512"/>
      <c r="H380" s="529"/>
      <c r="I380" s="512"/>
      <c r="J380" s="514"/>
      <c r="K380" s="510"/>
      <c r="L380" s="511"/>
      <c r="M380" s="529"/>
      <c r="N380" s="530"/>
      <c r="O380" s="510"/>
      <c r="P380" s="510"/>
      <c r="Q380" s="511"/>
      <c r="R380" s="511"/>
      <c r="S380" s="517"/>
      <c r="T380" s="510"/>
      <c r="U380" s="528"/>
    </row>
    <row r="381" spans="1:21">
      <c r="A381" s="479"/>
      <c r="B381" s="4"/>
      <c r="C381" s="536"/>
      <c r="D381" s="537"/>
      <c r="E381" s="537"/>
      <c r="F381" s="537"/>
      <c r="G381" s="537"/>
      <c r="H381" s="538"/>
      <c r="I381" s="537"/>
      <c r="J381" s="539"/>
      <c r="K381" s="536"/>
      <c r="L381" s="537"/>
      <c r="M381" s="538"/>
      <c r="N381" s="540"/>
      <c r="O381" s="536"/>
      <c r="P381" s="536"/>
      <c r="Q381" s="537"/>
      <c r="R381" s="537"/>
      <c r="S381" s="541"/>
      <c r="T381" s="536"/>
      <c r="U381" s="542"/>
    </row>
    <row r="382" spans="1:21">
      <c r="A382" s="479"/>
      <c r="B382" s="4"/>
      <c r="C382" s="543"/>
      <c r="D382" s="544"/>
      <c r="E382" s="544"/>
      <c r="F382" s="544"/>
      <c r="G382" s="544"/>
      <c r="H382" s="545"/>
      <c r="I382" s="544"/>
      <c r="J382" s="546"/>
      <c r="K382" s="543"/>
      <c r="L382" s="547"/>
      <c r="M382" s="545"/>
      <c r="N382" s="548"/>
      <c r="O382" s="543"/>
      <c r="P382" s="543"/>
      <c r="Q382" s="547"/>
      <c r="R382" s="547"/>
      <c r="S382" s="549"/>
      <c r="T382" s="543"/>
      <c r="U382" s="550"/>
    </row>
    <row r="383" spans="1:21">
      <c r="A383" s="479"/>
      <c r="B383" s="480"/>
      <c r="C383" s="510"/>
      <c r="D383" s="512"/>
      <c r="E383" s="512"/>
      <c r="F383" s="512"/>
      <c r="G383" s="512"/>
      <c r="H383" s="529"/>
      <c r="I383" s="512"/>
      <c r="J383" s="514"/>
      <c r="K383" s="510"/>
      <c r="L383" s="511"/>
      <c r="M383" s="529"/>
      <c r="N383" s="530"/>
      <c r="O383" s="510"/>
      <c r="P383" s="510"/>
      <c r="Q383" s="511"/>
      <c r="R383" s="511"/>
      <c r="S383" s="517"/>
      <c r="T383" s="510"/>
      <c r="U383" s="528"/>
    </row>
    <row r="384" spans="1:21">
      <c r="A384" s="479"/>
      <c r="B384" s="4"/>
      <c r="C384" s="536"/>
      <c r="D384" s="537"/>
      <c r="E384" s="537"/>
      <c r="F384" s="537"/>
      <c r="G384" s="537"/>
      <c r="H384" s="538"/>
      <c r="I384" s="537"/>
      <c r="J384" s="539"/>
      <c r="K384" s="536"/>
      <c r="L384" s="537"/>
      <c r="M384" s="538"/>
      <c r="N384" s="540"/>
      <c r="O384" s="536"/>
      <c r="P384" s="536"/>
      <c r="Q384" s="537"/>
      <c r="R384" s="537"/>
      <c r="S384" s="541"/>
      <c r="T384" s="536"/>
      <c r="U384" s="542"/>
    </row>
    <row r="385" spans="1:21">
      <c r="A385" s="479"/>
      <c r="B385" s="4"/>
      <c r="C385" s="543"/>
      <c r="D385" s="544"/>
      <c r="E385" s="544"/>
      <c r="F385" s="544"/>
      <c r="G385" s="544"/>
      <c r="H385" s="545"/>
      <c r="I385" s="544"/>
      <c r="J385" s="546"/>
      <c r="K385" s="543"/>
      <c r="L385" s="547"/>
      <c r="M385" s="545"/>
      <c r="N385" s="548"/>
      <c r="O385" s="543"/>
      <c r="P385" s="543"/>
      <c r="Q385" s="547"/>
      <c r="R385" s="547"/>
      <c r="S385" s="549"/>
      <c r="T385" s="543"/>
      <c r="U385" s="550"/>
    </row>
    <row r="386" spans="1:21">
      <c r="A386" s="479"/>
      <c r="B386" s="480"/>
      <c r="C386" s="510"/>
      <c r="D386" s="512"/>
      <c r="E386" s="512"/>
      <c r="F386" s="512"/>
      <c r="G386" s="512"/>
      <c r="H386" s="529"/>
      <c r="I386" s="512"/>
      <c r="J386" s="514"/>
      <c r="K386" s="510"/>
      <c r="L386" s="511"/>
      <c r="M386" s="529"/>
      <c r="N386" s="530"/>
      <c r="O386" s="510"/>
      <c r="P386" s="510"/>
      <c r="Q386" s="511"/>
      <c r="R386" s="511"/>
      <c r="S386" s="517"/>
      <c r="T386" s="510"/>
      <c r="U386" s="528"/>
    </row>
    <row r="387" spans="1:21">
      <c r="A387" s="479"/>
      <c r="B387" s="4"/>
      <c r="C387" s="536"/>
      <c r="D387" s="537"/>
      <c r="E387" s="537"/>
      <c r="F387" s="537"/>
      <c r="G387" s="537"/>
      <c r="H387" s="538"/>
      <c r="I387" s="537"/>
      <c r="J387" s="539"/>
      <c r="K387" s="536"/>
      <c r="L387" s="537"/>
      <c r="M387" s="538"/>
      <c r="N387" s="540"/>
      <c r="O387" s="536"/>
      <c r="P387" s="536"/>
      <c r="Q387" s="537"/>
      <c r="R387" s="537"/>
      <c r="S387" s="541"/>
      <c r="T387" s="536"/>
      <c r="U387" s="542"/>
    </row>
    <row r="388" spans="1:21">
      <c r="A388" s="479"/>
      <c r="B388" s="4"/>
      <c r="C388" s="543"/>
      <c r="D388" s="544"/>
      <c r="E388" s="544"/>
      <c r="F388" s="544"/>
      <c r="G388" s="544"/>
      <c r="H388" s="545"/>
      <c r="I388" s="544"/>
      <c r="J388" s="546"/>
      <c r="K388" s="543"/>
      <c r="L388" s="547"/>
      <c r="M388" s="545"/>
      <c r="N388" s="548"/>
      <c r="O388" s="543"/>
      <c r="P388" s="543"/>
      <c r="Q388" s="547"/>
      <c r="R388" s="547"/>
      <c r="S388" s="549"/>
      <c r="T388" s="543"/>
      <c r="U388" s="550"/>
    </row>
    <row r="389" spans="1:21">
      <c r="A389" s="479"/>
      <c r="B389" s="480"/>
      <c r="C389" s="510"/>
      <c r="D389" s="512"/>
      <c r="E389" s="512"/>
      <c r="F389" s="512"/>
      <c r="G389" s="512"/>
      <c r="H389" s="529"/>
      <c r="I389" s="512"/>
      <c r="J389" s="514"/>
      <c r="K389" s="510"/>
      <c r="L389" s="511"/>
      <c r="M389" s="529"/>
      <c r="N389" s="530"/>
      <c r="O389" s="510"/>
      <c r="P389" s="510"/>
      <c r="Q389" s="511"/>
      <c r="R389" s="511"/>
      <c r="S389" s="517"/>
      <c r="T389" s="510"/>
      <c r="U389" s="528"/>
    </row>
    <row r="390" spans="1:21">
      <c r="A390" s="479"/>
      <c r="B390" s="4"/>
      <c r="C390" s="536"/>
      <c r="D390" s="537"/>
      <c r="E390" s="537"/>
      <c r="F390" s="537"/>
      <c r="G390" s="537"/>
      <c r="H390" s="538"/>
      <c r="I390" s="537"/>
      <c r="J390" s="539"/>
      <c r="K390" s="536"/>
      <c r="L390" s="537"/>
      <c r="M390" s="538"/>
      <c r="N390" s="540"/>
      <c r="O390" s="536"/>
      <c r="P390" s="536"/>
      <c r="Q390" s="537"/>
      <c r="R390" s="537"/>
      <c r="S390" s="541"/>
      <c r="T390" s="536"/>
      <c r="U390" s="542"/>
    </row>
    <row r="391" spans="1:21">
      <c r="A391" s="479"/>
      <c r="B391" s="4"/>
      <c r="C391" s="543"/>
      <c r="D391" s="544"/>
      <c r="E391" s="544"/>
      <c r="F391" s="544"/>
      <c r="G391" s="544"/>
      <c r="H391" s="545"/>
      <c r="I391" s="544"/>
      <c r="J391" s="546"/>
      <c r="K391" s="543"/>
      <c r="L391" s="547"/>
      <c r="M391" s="545"/>
      <c r="N391" s="548"/>
      <c r="O391" s="543"/>
      <c r="P391" s="543"/>
      <c r="Q391" s="547"/>
      <c r="R391" s="547"/>
      <c r="S391" s="549"/>
      <c r="T391" s="543"/>
      <c r="U391" s="550"/>
    </row>
    <row r="392" spans="1:21">
      <c r="A392" s="479"/>
      <c r="B392" s="480"/>
      <c r="C392" s="510"/>
      <c r="D392" s="512"/>
      <c r="E392" s="512"/>
      <c r="F392" s="512"/>
      <c r="G392" s="512"/>
      <c r="H392" s="529"/>
      <c r="I392" s="512"/>
      <c r="J392" s="514"/>
      <c r="K392" s="510"/>
      <c r="L392" s="511"/>
      <c r="M392" s="529"/>
      <c r="N392" s="530"/>
      <c r="O392" s="510"/>
      <c r="P392" s="510"/>
      <c r="Q392" s="511"/>
      <c r="R392" s="511"/>
      <c r="S392" s="517"/>
      <c r="T392" s="510"/>
      <c r="U392" s="528"/>
    </row>
    <row r="393" spans="1:21">
      <c r="A393" s="479"/>
      <c r="B393" s="4"/>
      <c r="C393" s="536"/>
      <c r="D393" s="537"/>
      <c r="E393" s="537"/>
      <c r="F393" s="537"/>
      <c r="G393" s="537"/>
      <c r="H393" s="538"/>
      <c r="I393" s="537"/>
      <c r="J393" s="539"/>
      <c r="K393" s="536"/>
      <c r="L393" s="537"/>
      <c r="M393" s="538"/>
      <c r="N393" s="540"/>
      <c r="O393" s="536"/>
      <c r="P393" s="536"/>
      <c r="Q393" s="537"/>
      <c r="R393" s="537"/>
      <c r="S393" s="541"/>
      <c r="T393" s="536"/>
      <c r="U393" s="542"/>
    </row>
    <row r="394" spans="1:21">
      <c r="A394" s="479"/>
      <c r="B394" s="4"/>
      <c r="C394" s="543"/>
      <c r="D394" s="544"/>
      <c r="E394" s="544"/>
      <c r="F394" s="544"/>
      <c r="G394" s="544"/>
      <c r="H394" s="545"/>
      <c r="I394" s="544"/>
      <c r="J394" s="546"/>
      <c r="K394" s="543"/>
      <c r="L394" s="547"/>
      <c r="M394" s="545"/>
      <c r="N394" s="548"/>
      <c r="O394" s="543"/>
      <c r="P394" s="543"/>
      <c r="Q394" s="547"/>
      <c r="R394" s="547"/>
      <c r="S394" s="549"/>
      <c r="T394" s="543"/>
      <c r="U394" s="550"/>
    </row>
    <row r="395" spans="1:21">
      <c r="A395" s="479"/>
      <c r="B395" s="480"/>
      <c r="C395" s="510"/>
      <c r="D395" s="512"/>
      <c r="E395" s="512"/>
      <c r="F395" s="512"/>
      <c r="G395" s="512"/>
      <c r="H395" s="529"/>
      <c r="I395" s="512"/>
      <c r="J395" s="514"/>
      <c r="K395" s="510"/>
      <c r="L395" s="511"/>
      <c r="M395" s="529"/>
      <c r="N395" s="530"/>
      <c r="O395" s="510"/>
      <c r="P395" s="510"/>
      <c r="Q395" s="511"/>
      <c r="R395" s="511"/>
      <c r="S395" s="517"/>
      <c r="T395" s="510"/>
      <c r="U395" s="528"/>
    </row>
    <row r="396" spans="1:21">
      <c r="A396" s="479"/>
      <c r="B396" s="4"/>
      <c r="C396" s="536"/>
      <c r="D396" s="537"/>
      <c r="E396" s="537"/>
      <c r="F396" s="537"/>
      <c r="G396" s="537"/>
      <c r="H396" s="538"/>
      <c r="I396" s="537"/>
      <c r="J396" s="539"/>
      <c r="K396" s="536"/>
      <c r="L396" s="537"/>
      <c r="M396" s="538"/>
      <c r="N396" s="540"/>
      <c r="O396" s="536"/>
      <c r="P396" s="536"/>
      <c r="Q396" s="537"/>
      <c r="R396" s="537"/>
      <c r="S396" s="541"/>
      <c r="T396" s="536"/>
      <c r="U396" s="542"/>
    </row>
    <row r="397" spans="1:21">
      <c r="A397" s="479"/>
      <c r="B397" s="4"/>
      <c r="C397" s="543"/>
      <c r="D397" s="544"/>
      <c r="E397" s="544"/>
      <c r="F397" s="544"/>
      <c r="G397" s="544"/>
      <c r="H397" s="545"/>
      <c r="I397" s="544"/>
      <c r="J397" s="546"/>
      <c r="K397" s="543"/>
      <c r="L397" s="547"/>
      <c r="M397" s="545"/>
      <c r="N397" s="548"/>
      <c r="O397" s="543"/>
      <c r="P397" s="543"/>
      <c r="Q397" s="547"/>
      <c r="R397" s="547"/>
      <c r="S397" s="549"/>
      <c r="T397" s="543"/>
      <c r="U397" s="550"/>
    </row>
    <row r="398" spans="1:21">
      <c r="A398" s="479"/>
      <c r="B398" s="480"/>
      <c r="C398" s="551"/>
      <c r="D398" s="552"/>
      <c r="E398" s="552"/>
      <c r="F398" s="552"/>
      <c r="G398" s="552"/>
      <c r="H398" s="529"/>
      <c r="I398" s="552"/>
      <c r="J398" s="531"/>
      <c r="K398" s="551"/>
      <c r="L398" s="552"/>
      <c r="M398" s="529"/>
      <c r="N398" s="530"/>
      <c r="O398" s="551"/>
      <c r="P398" s="551"/>
      <c r="Q398" s="552"/>
      <c r="R398" s="552"/>
      <c r="S398" s="553"/>
      <c r="T398" s="551"/>
      <c r="U398" s="554"/>
    </row>
    <row r="399" spans="1:21">
      <c r="A399" s="479"/>
      <c r="B399" s="4"/>
      <c r="C399" s="506"/>
      <c r="D399" s="508"/>
      <c r="E399" s="508"/>
      <c r="F399" s="508"/>
      <c r="G399" s="508"/>
      <c r="H399" s="508"/>
      <c r="I399" s="508"/>
      <c r="J399" s="509"/>
      <c r="K399" s="506"/>
      <c r="L399" s="507"/>
      <c r="M399" s="507"/>
      <c r="N399" s="507"/>
      <c r="O399" s="506"/>
      <c r="P399" s="506"/>
      <c r="Q399" s="507"/>
      <c r="R399" s="507"/>
      <c r="S399" s="515"/>
      <c r="T399" s="506"/>
      <c r="U399" s="527"/>
    </row>
    <row r="400" spans="1:21">
      <c r="A400" s="479"/>
      <c r="B400" s="4"/>
      <c r="C400" s="506"/>
      <c r="D400" s="508"/>
      <c r="E400" s="508"/>
      <c r="F400" s="508"/>
      <c r="G400" s="508"/>
      <c r="H400" s="508"/>
      <c r="I400" s="508"/>
      <c r="J400" s="509"/>
      <c r="K400" s="506"/>
      <c r="L400" s="507"/>
      <c r="M400" s="507"/>
      <c r="N400" s="507"/>
      <c r="O400" s="506"/>
      <c r="P400" s="506"/>
      <c r="Q400" s="507"/>
      <c r="R400" s="507"/>
      <c r="S400" s="515"/>
      <c r="T400" s="506"/>
      <c r="U400" s="527"/>
    </row>
    <row r="401" spans="1:21">
      <c r="A401" s="502"/>
      <c r="B401" s="481"/>
      <c r="C401" s="510"/>
      <c r="D401" s="512"/>
      <c r="E401" s="512"/>
      <c r="F401" s="512"/>
      <c r="G401" s="512"/>
      <c r="H401" s="529"/>
      <c r="I401" s="512"/>
      <c r="J401" s="514"/>
      <c r="K401" s="510"/>
      <c r="L401" s="511"/>
      <c r="M401" s="529"/>
      <c r="N401" s="530"/>
      <c r="O401" s="510"/>
      <c r="P401" s="510"/>
      <c r="Q401" s="511"/>
      <c r="R401" s="511"/>
      <c r="S401" s="517"/>
      <c r="T401" s="510"/>
      <c r="U401" s="528"/>
    </row>
    <row r="402" spans="1:21">
      <c r="A402" s="478"/>
      <c r="B402" s="3"/>
      <c r="C402" s="536"/>
      <c r="D402" s="537"/>
      <c r="E402" s="537"/>
      <c r="F402" s="537"/>
      <c r="G402" s="537"/>
      <c r="H402" s="538"/>
      <c r="I402" s="537"/>
      <c r="J402" s="539"/>
      <c r="K402" s="536"/>
      <c r="L402" s="537"/>
      <c r="M402" s="538"/>
      <c r="N402" s="540"/>
      <c r="O402" s="536"/>
      <c r="P402" s="536"/>
      <c r="Q402" s="537"/>
      <c r="R402" s="537"/>
      <c r="S402" s="541"/>
      <c r="T402" s="536"/>
      <c r="U402" s="542"/>
    </row>
    <row r="403" spans="1:21">
      <c r="A403" s="479"/>
      <c r="B403" s="4"/>
      <c r="C403" s="543"/>
      <c r="D403" s="544"/>
      <c r="E403" s="544"/>
      <c r="F403" s="544"/>
      <c r="G403" s="544"/>
      <c r="H403" s="545"/>
      <c r="I403" s="544"/>
      <c r="J403" s="546"/>
      <c r="K403" s="543"/>
      <c r="L403" s="547"/>
      <c r="M403" s="545"/>
      <c r="N403" s="548"/>
      <c r="O403" s="543"/>
      <c r="P403" s="543"/>
      <c r="Q403" s="547"/>
      <c r="R403" s="547"/>
      <c r="S403" s="549"/>
      <c r="T403" s="543"/>
      <c r="U403" s="550"/>
    </row>
    <row r="404" spans="1:21">
      <c r="A404" s="479"/>
      <c r="B404" s="505"/>
      <c r="C404" s="510"/>
      <c r="D404" s="512"/>
      <c r="E404" s="512"/>
      <c r="F404" s="512"/>
      <c r="G404" s="512"/>
      <c r="H404" s="529"/>
      <c r="I404" s="512"/>
      <c r="J404" s="514"/>
      <c r="K404" s="510"/>
      <c r="L404" s="511"/>
      <c r="M404" s="529"/>
      <c r="N404" s="530"/>
      <c r="O404" s="510"/>
      <c r="P404" s="510"/>
      <c r="Q404" s="511"/>
      <c r="R404" s="511"/>
      <c r="S404" s="517"/>
      <c r="T404" s="510"/>
      <c r="U404" s="528"/>
    </row>
    <row r="405" spans="1:21">
      <c r="A405" s="479"/>
      <c r="B405" s="4"/>
      <c r="C405" s="536"/>
      <c r="D405" s="537"/>
      <c r="E405" s="537"/>
      <c r="F405" s="537"/>
      <c r="G405" s="537"/>
      <c r="H405" s="538"/>
      <c r="I405" s="537"/>
      <c r="J405" s="539"/>
      <c r="K405" s="536"/>
      <c r="L405" s="537"/>
      <c r="M405" s="538"/>
      <c r="N405" s="540"/>
      <c r="O405" s="536"/>
      <c r="P405" s="536"/>
      <c r="Q405" s="537"/>
      <c r="R405" s="537"/>
      <c r="S405" s="541"/>
      <c r="T405" s="536"/>
      <c r="U405" s="542"/>
    </row>
    <row r="406" spans="1:21">
      <c r="A406" s="414"/>
      <c r="B406" s="4"/>
      <c r="C406" s="543"/>
      <c r="D406" s="544"/>
      <c r="E406" s="544"/>
      <c r="F406" s="544"/>
      <c r="G406" s="544"/>
      <c r="H406" s="545"/>
      <c r="I406" s="544"/>
      <c r="J406" s="546"/>
      <c r="K406" s="543"/>
      <c r="L406" s="547"/>
      <c r="M406" s="545"/>
      <c r="N406" s="548"/>
      <c r="O406" s="543"/>
      <c r="P406" s="543"/>
      <c r="Q406" s="547"/>
      <c r="R406" s="547"/>
      <c r="S406" s="549"/>
      <c r="T406" s="543"/>
      <c r="U406" s="550"/>
    </row>
    <row r="407" spans="1:21">
      <c r="A407" s="414"/>
      <c r="B407" s="480"/>
      <c r="C407" s="510"/>
      <c r="D407" s="512"/>
      <c r="E407" s="512"/>
      <c r="F407" s="512"/>
      <c r="G407" s="512"/>
      <c r="H407" s="529"/>
      <c r="I407" s="512"/>
      <c r="J407" s="514"/>
      <c r="K407" s="510"/>
      <c r="L407" s="511"/>
      <c r="M407" s="529"/>
      <c r="N407" s="530"/>
      <c r="O407" s="510"/>
      <c r="P407" s="510"/>
      <c r="Q407" s="511"/>
      <c r="R407" s="511"/>
      <c r="S407" s="517"/>
      <c r="T407" s="510"/>
      <c r="U407" s="528"/>
    </row>
    <row r="408" spans="1:21">
      <c r="A408" s="414"/>
      <c r="B408" s="4"/>
      <c r="C408" s="536"/>
      <c r="D408" s="537"/>
      <c r="E408" s="537"/>
      <c r="F408" s="537"/>
      <c r="G408" s="537"/>
      <c r="H408" s="538"/>
      <c r="I408" s="537"/>
      <c r="J408" s="539"/>
      <c r="K408" s="536"/>
      <c r="L408" s="537"/>
      <c r="M408" s="538"/>
      <c r="N408" s="540"/>
      <c r="O408" s="536"/>
      <c r="P408" s="536"/>
      <c r="Q408" s="537"/>
      <c r="R408" s="537"/>
      <c r="S408" s="541"/>
      <c r="T408" s="536"/>
      <c r="U408" s="542"/>
    </row>
    <row r="409" spans="1:21">
      <c r="A409" s="414"/>
      <c r="B409" s="4"/>
      <c r="C409" s="543"/>
      <c r="D409" s="544"/>
      <c r="E409" s="544"/>
      <c r="F409" s="544"/>
      <c r="G409" s="544"/>
      <c r="H409" s="545"/>
      <c r="I409" s="544"/>
      <c r="J409" s="546"/>
      <c r="K409" s="543"/>
      <c r="L409" s="547"/>
      <c r="M409" s="545"/>
      <c r="N409" s="548"/>
      <c r="O409" s="543"/>
      <c r="P409" s="543"/>
      <c r="Q409" s="547"/>
      <c r="R409" s="547"/>
      <c r="S409" s="549"/>
      <c r="T409" s="543"/>
      <c r="U409" s="550"/>
    </row>
    <row r="410" spans="1:21">
      <c r="A410" s="414"/>
      <c r="B410" s="480"/>
      <c r="C410" s="510"/>
      <c r="D410" s="512"/>
      <c r="E410" s="512"/>
      <c r="F410" s="512"/>
      <c r="G410" s="512"/>
      <c r="H410" s="529"/>
      <c r="I410" s="512"/>
      <c r="J410" s="514"/>
      <c r="K410" s="510"/>
      <c r="L410" s="511"/>
      <c r="M410" s="529"/>
      <c r="N410" s="530"/>
      <c r="O410" s="510"/>
      <c r="P410" s="510"/>
      <c r="Q410" s="511"/>
      <c r="R410" s="511"/>
      <c r="S410" s="517"/>
      <c r="T410" s="510"/>
      <c r="U410" s="528"/>
    </row>
    <row r="411" spans="1:21">
      <c r="A411" s="414"/>
      <c r="B411" s="4"/>
      <c r="C411" s="536"/>
      <c r="D411" s="537"/>
      <c r="E411" s="537"/>
      <c r="F411" s="537"/>
      <c r="G411" s="537"/>
      <c r="H411" s="538"/>
      <c r="I411" s="537"/>
      <c r="J411" s="539"/>
      <c r="K411" s="536"/>
      <c r="L411" s="537"/>
      <c r="M411" s="538"/>
      <c r="N411" s="540"/>
      <c r="O411" s="536"/>
      <c r="P411" s="536"/>
      <c r="Q411" s="537"/>
      <c r="R411" s="537"/>
      <c r="S411" s="541"/>
      <c r="T411" s="536"/>
      <c r="U411" s="542"/>
    </row>
    <row r="412" spans="1:21">
      <c r="A412" s="414"/>
      <c r="B412" s="4"/>
      <c r="C412" s="543"/>
      <c r="D412" s="544"/>
      <c r="E412" s="544"/>
      <c r="F412" s="544"/>
      <c r="G412" s="544"/>
      <c r="H412" s="545"/>
      <c r="I412" s="544"/>
      <c r="J412" s="546"/>
      <c r="K412" s="543"/>
      <c r="L412" s="547"/>
      <c r="M412" s="545"/>
      <c r="N412" s="548"/>
      <c r="O412" s="543"/>
      <c r="P412" s="543"/>
      <c r="Q412" s="547"/>
      <c r="R412" s="547"/>
      <c r="S412" s="549"/>
      <c r="T412" s="543"/>
      <c r="U412" s="550"/>
    </row>
    <row r="413" spans="1:21">
      <c r="A413" s="414"/>
      <c r="B413" s="480"/>
      <c r="C413" s="510"/>
      <c r="D413" s="512"/>
      <c r="E413" s="512"/>
      <c r="F413" s="512"/>
      <c r="G413" s="512"/>
      <c r="H413" s="529"/>
      <c r="I413" s="512"/>
      <c r="J413" s="514"/>
      <c r="K413" s="510"/>
      <c r="L413" s="511"/>
      <c r="M413" s="529"/>
      <c r="N413" s="530"/>
      <c r="O413" s="510"/>
      <c r="P413" s="510"/>
      <c r="Q413" s="511"/>
      <c r="R413" s="511"/>
      <c r="S413" s="517"/>
      <c r="T413" s="510"/>
      <c r="U413" s="528"/>
    </row>
    <row r="414" spans="1:21">
      <c r="A414" s="479"/>
      <c r="B414" s="4"/>
      <c r="C414" s="536"/>
      <c r="D414" s="537"/>
      <c r="E414" s="537"/>
      <c r="F414" s="537"/>
      <c r="G414" s="537"/>
      <c r="H414" s="538"/>
      <c r="I414" s="537"/>
      <c r="J414" s="539"/>
      <c r="K414" s="536"/>
      <c r="L414" s="537"/>
      <c r="M414" s="538"/>
      <c r="N414" s="540"/>
      <c r="O414" s="536"/>
      <c r="P414" s="536"/>
      <c r="Q414" s="537"/>
      <c r="R414" s="537"/>
      <c r="S414" s="541"/>
      <c r="T414" s="536"/>
      <c r="U414" s="542"/>
    </row>
    <row r="415" spans="1:21">
      <c r="A415" s="479"/>
      <c r="B415" s="4"/>
      <c r="C415" s="543"/>
      <c r="D415" s="544"/>
      <c r="E415" s="544"/>
      <c r="F415" s="544"/>
      <c r="G415" s="544"/>
      <c r="H415" s="545"/>
      <c r="I415" s="544"/>
      <c r="J415" s="546"/>
      <c r="K415" s="543"/>
      <c r="L415" s="547"/>
      <c r="M415" s="545"/>
      <c r="N415" s="548"/>
      <c r="O415" s="543"/>
      <c r="P415" s="543"/>
      <c r="Q415" s="547"/>
      <c r="R415" s="547"/>
      <c r="S415" s="549"/>
      <c r="T415" s="543"/>
      <c r="U415" s="550"/>
    </row>
    <row r="416" spans="1:21">
      <c r="A416" s="479"/>
      <c r="B416" s="480"/>
      <c r="C416" s="510"/>
      <c r="D416" s="512"/>
      <c r="E416" s="512"/>
      <c r="F416" s="512"/>
      <c r="G416" s="512"/>
      <c r="H416" s="529"/>
      <c r="I416" s="512"/>
      <c r="J416" s="514"/>
      <c r="K416" s="510"/>
      <c r="L416" s="511"/>
      <c r="M416" s="529"/>
      <c r="N416" s="530"/>
      <c r="O416" s="510"/>
      <c r="P416" s="510"/>
      <c r="Q416" s="511"/>
      <c r="R416" s="511"/>
      <c r="S416" s="517"/>
      <c r="T416" s="510"/>
      <c r="U416" s="528"/>
    </row>
    <row r="417" spans="1:21">
      <c r="A417" s="479"/>
      <c r="B417" s="4"/>
      <c r="C417" s="536"/>
      <c r="D417" s="537"/>
      <c r="E417" s="537"/>
      <c r="F417" s="537"/>
      <c r="G417" s="537"/>
      <c r="H417" s="538"/>
      <c r="I417" s="537"/>
      <c r="J417" s="539"/>
      <c r="K417" s="536"/>
      <c r="L417" s="537"/>
      <c r="M417" s="538"/>
      <c r="N417" s="540"/>
      <c r="O417" s="536"/>
      <c r="P417" s="536"/>
      <c r="Q417" s="537"/>
      <c r="R417" s="537"/>
      <c r="S417" s="541"/>
      <c r="T417" s="536"/>
      <c r="U417" s="542"/>
    </row>
    <row r="418" spans="1:21">
      <c r="A418" s="479"/>
      <c r="B418" s="4"/>
      <c r="C418" s="543"/>
      <c r="D418" s="544"/>
      <c r="E418" s="544"/>
      <c r="F418" s="544"/>
      <c r="G418" s="544"/>
      <c r="H418" s="545"/>
      <c r="I418" s="544"/>
      <c r="J418" s="546"/>
      <c r="K418" s="543"/>
      <c r="L418" s="547"/>
      <c r="M418" s="545"/>
      <c r="N418" s="548"/>
      <c r="O418" s="543"/>
      <c r="P418" s="543"/>
      <c r="Q418" s="547"/>
      <c r="R418" s="547"/>
      <c r="S418" s="549"/>
      <c r="T418" s="543"/>
      <c r="U418" s="550"/>
    </row>
    <row r="419" spans="1:21">
      <c r="A419" s="479"/>
      <c r="B419" s="480"/>
      <c r="C419" s="510"/>
      <c r="D419" s="512"/>
      <c r="E419" s="512"/>
      <c r="F419" s="512"/>
      <c r="G419" s="512"/>
      <c r="H419" s="529"/>
      <c r="I419" s="512"/>
      <c r="J419" s="514"/>
      <c r="K419" s="510"/>
      <c r="L419" s="511"/>
      <c r="M419" s="529"/>
      <c r="N419" s="530"/>
      <c r="O419" s="510"/>
      <c r="P419" s="510"/>
      <c r="Q419" s="511"/>
      <c r="R419" s="511"/>
      <c r="S419" s="517"/>
      <c r="T419" s="510"/>
      <c r="U419" s="528"/>
    </row>
    <row r="420" spans="1:21">
      <c r="A420" s="479"/>
      <c r="B420" s="4"/>
      <c r="C420" s="536"/>
      <c r="D420" s="537"/>
      <c r="E420" s="537"/>
      <c r="F420" s="537"/>
      <c r="G420" s="537"/>
      <c r="H420" s="538"/>
      <c r="I420" s="537"/>
      <c r="J420" s="539"/>
      <c r="K420" s="536"/>
      <c r="L420" s="537"/>
      <c r="M420" s="538"/>
      <c r="N420" s="540"/>
      <c r="O420" s="536"/>
      <c r="P420" s="536"/>
      <c r="Q420" s="537"/>
      <c r="R420" s="537"/>
      <c r="S420" s="541"/>
      <c r="T420" s="536"/>
      <c r="U420" s="542"/>
    </row>
    <row r="421" spans="1:21">
      <c r="A421" s="479"/>
      <c r="B421" s="4"/>
      <c r="C421" s="543"/>
      <c r="D421" s="544"/>
      <c r="E421" s="544"/>
      <c r="F421" s="544"/>
      <c r="G421" s="544"/>
      <c r="H421" s="545"/>
      <c r="I421" s="544"/>
      <c r="J421" s="546"/>
      <c r="K421" s="543"/>
      <c r="L421" s="547"/>
      <c r="M421" s="545"/>
      <c r="N421" s="548"/>
      <c r="O421" s="543"/>
      <c r="P421" s="543"/>
      <c r="Q421" s="547"/>
      <c r="R421" s="547"/>
      <c r="S421" s="549"/>
      <c r="T421" s="543"/>
      <c r="U421" s="550"/>
    </row>
    <row r="422" spans="1:21">
      <c r="A422" s="479"/>
      <c r="B422" s="480"/>
      <c r="C422" s="510"/>
      <c r="D422" s="512"/>
      <c r="E422" s="512"/>
      <c r="F422" s="512"/>
      <c r="G422" s="512"/>
      <c r="H422" s="529"/>
      <c r="I422" s="512"/>
      <c r="J422" s="514"/>
      <c r="K422" s="510"/>
      <c r="L422" s="511"/>
      <c r="M422" s="529"/>
      <c r="N422" s="530"/>
      <c r="O422" s="510"/>
      <c r="P422" s="510"/>
      <c r="Q422" s="511"/>
      <c r="R422" s="511"/>
      <c r="S422" s="517"/>
      <c r="T422" s="510"/>
      <c r="U422" s="528"/>
    </row>
    <row r="423" spans="1:21">
      <c r="A423" s="479"/>
      <c r="B423" s="4"/>
      <c r="C423" s="536"/>
      <c r="D423" s="537"/>
      <c r="E423" s="537"/>
      <c r="F423" s="537"/>
      <c r="G423" s="537"/>
      <c r="H423" s="538"/>
      <c r="I423" s="537"/>
      <c r="J423" s="539"/>
      <c r="K423" s="536"/>
      <c r="L423" s="537"/>
      <c r="M423" s="538"/>
      <c r="N423" s="540"/>
      <c r="O423" s="536"/>
      <c r="P423" s="536"/>
      <c r="Q423" s="537"/>
      <c r="R423" s="537"/>
      <c r="S423" s="541"/>
      <c r="T423" s="536"/>
      <c r="U423" s="542"/>
    </row>
    <row r="424" spans="1:21">
      <c r="A424" s="479"/>
      <c r="B424" s="4"/>
      <c r="C424" s="543"/>
      <c r="D424" s="544"/>
      <c r="E424" s="544"/>
      <c r="F424" s="544"/>
      <c r="G424" s="544"/>
      <c r="H424" s="545"/>
      <c r="I424" s="544"/>
      <c r="J424" s="546"/>
      <c r="K424" s="543"/>
      <c r="L424" s="547"/>
      <c r="M424" s="545"/>
      <c r="N424" s="548"/>
      <c r="O424" s="543"/>
      <c r="P424" s="543"/>
      <c r="Q424" s="547"/>
      <c r="R424" s="547"/>
      <c r="S424" s="549"/>
      <c r="T424" s="543"/>
      <c r="U424" s="550"/>
    </row>
    <row r="425" spans="1:21">
      <c r="A425" s="479"/>
      <c r="B425" s="480"/>
      <c r="C425" s="510"/>
      <c r="D425" s="512"/>
      <c r="E425" s="512"/>
      <c r="F425" s="512"/>
      <c r="G425" s="512"/>
      <c r="H425" s="529"/>
      <c r="I425" s="512"/>
      <c r="J425" s="514"/>
      <c r="K425" s="510"/>
      <c r="L425" s="511"/>
      <c r="M425" s="529"/>
      <c r="N425" s="530"/>
      <c r="O425" s="510"/>
      <c r="P425" s="510"/>
      <c r="Q425" s="511"/>
      <c r="R425" s="511"/>
      <c r="S425" s="517"/>
      <c r="T425" s="510"/>
      <c r="U425" s="528"/>
    </row>
    <row r="426" spans="1:21">
      <c r="A426" s="479"/>
      <c r="B426" s="4"/>
      <c r="C426" s="536"/>
      <c r="D426" s="537"/>
      <c r="E426" s="537"/>
      <c r="F426" s="537"/>
      <c r="G426" s="537"/>
      <c r="H426" s="538"/>
      <c r="I426" s="537"/>
      <c r="J426" s="539"/>
      <c r="K426" s="536"/>
      <c r="L426" s="537"/>
      <c r="M426" s="538"/>
      <c r="N426" s="540"/>
      <c r="O426" s="536"/>
      <c r="P426" s="536"/>
      <c r="Q426" s="537"/>
      <c r="R426" s="537"/>
      <c r="S426" s="541"/>
      <c r="T426" s="536"/>
      <c r="U426" s="542"/>
    </row>
    <row r="427" spans="1:21">
      <c r="A427" s="479"/>
      <c r="B427" s="4"/>
      <c r="C427" s="543"/>
      <c r="D427" s="544"/>
      <c r="E427" s="544"/>
      <c r="F427" s="544"/>
      <c r="G427" s="544"/>
      <c r="H427" s="545"/>
      <c r="I427" s="544"/>
      <c r="J427" s="546"/>
      <c r="K427" s="543"/>
      <c r="L427" s="547"/>
      <c r="M427" s="545"/>
      <c r="N427" s="548"/>
      <c r="O427" s="543"/>
      <c r="P427" s="543"/>
      <c r="Q427" s="547"/>
      <c r="R427" s="547"/>
      <c r="S427" s="549"/>
      <c r="T427" s="543"/>
      <c r="U427" s="550"/>
    </row>
    <row r="428" spans="1:21">
      <c r="A428" s="479"/>
      <c r="B428" s="480"/>
      <c r="C428" s="510"/>
      <c r="D428" s="512"/>
      <c r="E428" s="512"/>
      <c r="F428" s="512"/>
      <c r="G428" s="512"/>
      <c r="H428" s="529"/>
      <c r="I428" s="512"/>
      <c r="J428" s="514"/>
      <c r="K428" s="510"/>
      <c r="L428" s="511"/>
      <c r="M428" s="529"/>
      <c r="N428" s="530"/>
      <c r="O428" s="510"/>
      <c r="P428" s="510"/>
      <c r="Q428" s="511"/>
      <c r="R428" s="511"/>
      <c r="S428" s="517"/>
      <c r="T428" s="510"/>
      <c r="U428" s="528"/>
    </row>
    <row r="429" spans="1:21">
      <c r="A429" s="479"/>
      <c r="B429" s="4"/>
      <c r="C429" s="536"/>
      <c r="D429" s="537"/>
      <c r="E429" s="537"/>
      <c r="F429" s="537"/>
      <c r="G429" s="537"/>
      <c r="H429" s="538"/>
      <c r="I429" s="537"/>
      <c r="J429" s="539"/>
      <c r="K429" s="536"/>
      <c r="L429" s="537"/>
      <c r="M429" s="538"/>
      <c r="N429" s="540"/>
      <c r="O429" s="536"/>
      <c r="P429" s="536"/>
      <c r="Q429" s="537"/>
      <c r="R429" s="537"/>
      <c r="S429" s="541"/>
      <c r="T429" s="536"/>
      <c r="U429" s="542"/>
    </row>
    <row r="430" spans="1:21">
      <c r="A430" s="479"/>
      <c r="B430" s="4"/>
      <c r="C430" s="543"/>
      <c r="D430" s="544"/>
      <c r="E430" s="544"/>
      <c r="F430" s="544"/>
      <c r="G430" s="544"/>
      <c r="H430" s="545"/>
      <c r="I430" s="544"/>
      <c r="J430" s="546"/>
      <c r="K430" s="543"/>
      <c r="L430" s="547"/>
      <c r="M430" s="545"/>
      <c r="N430" s="548"/>
      <c r="O430" s="543"/>
      <c r="P430" s="543"/>
      <c r="Q430" s="547"/>
      <c r="R430" s="547"/>
      <c r="S430" s="549"/>
      <c r="T430" s="543"/>
      <c r="U430" s="550"/>
    </row>
    <row r="431" spans="1:21">
      <c r="A431" s="479"/>
      <c r="B431" s="480"/>
      <c r="C431" s="510"/>
      <c r="D431" s="512"/>
      <c r="E431" s="512"/>
      <c r="F431" s="512"/>
      <c r="G431" s="512"/>
      <c r="H431" s="529"/>
      <c r="I431" s="512"/>
      <c r="J431" s="514"/>
      <c r="K431" s="510"/>
      <c r="L431" s="511"/>
      <c r="M431" s="529"/>
      <c r="N431" s="530"/>
      <c r="O431" s="510"/>
      <c r="P431" s="510"/>
      <c r="Q431" s="511"/>
      <c r="R431" s="511"/>
      <c r="S431" s="517"/>
      <c r="T431" s="510"/>
      <c r="U431" s="528"/>
    </row>
    <row r="432" spans="1:21">
      <c r="A432" s="479"/>
      <c r="B432" s="4"/>
      <c r="C432" s="536"/>
      <c r="D432" s="537"/>
      <c r="E432" s="537"/>
      <c r="F432" s="537"/>
      <c r="G432" s="537"/>
      <c r="H432" s="538"/>
      <c r="I432" s="537"/>
      <c r="J432" s="539"/>
      <c r="K432" s="536"/>
      <c r="L432" s="537"/>
      <c r="M432" s="538"/>
      <c r="N432" s="540"/>
      <c r="O432" s="536"/>
      <c r="P432" s="536"/>
      <c r="Q432" s="537"/>
      <c r="R432" s="537"/>
      <c r="S432" s="541"/>
      <c r="T432" s="536"/>
      <c r="U432" s="542"/>
    </row>
    <row r="433" spans="1:21">
      <c r="A433" s="479"/>
      <c r="B433" s="4"/>
      <c r="C433" s="543"/>
      <c r="D433" s="544"/>
      <c r="E433" s="544"/>
      <c r="F433" s="544"/>
      <c r="G433" s="544"/>
      <c r="H433" s="545"/>
      <c r="I433" s="544"/>
      <c r="J433" s="546"/>
      <c r="K433" s="543"/>
      <c r="L433" s="547"/>
      <c r="M433" s="545"/>
      <c r="N433" s="548"/>
      <c r="O433" s="543"/>
      <c r="P433" s="543"/>
      <c r="Q433" s="547"/>
      <c r="R433" s="547"/>
      <c r="S433" s="549"/>
      <c r="T433" s="543"/>
      <c r="U433" s="550"/>
    </row>
    <row r="434" spans="1:21">
      <c r="A434" s="479"/>
      <c r="B434" s="480"/>
      <c r="C434" s="551"/>
      <c r="D434" s="552"/>
      <c r="E434" s="552"/>
      <c r="F434" s="552"/>
      <c r="G434" s="552"/>
      <c r="H434" s="529"/>
      <c r="I434" s="552"/>
      <c r="J434" s="531"/>
      <c r="K434" s="551"/>
      <c r="L434" s="552"/>
      <c r="M434" s="529"/>
      <c r="N434" s="530"/>
      <c r="O434" s="551"/>
      <c r="P434" s="551"/>
      <c r="Q434" s="552"/>
      <c r="R434" s="552"/>
      <c r="S434" s="553"/>
      <c r="T434" s="551"/>
      <c r="U434" s="554"/>
    </row>
    <row r="435" spans="1:21">
      <c r="A435" s="479"/>
      <c r="B435" s="4"/>
      <c r="C435" s="506"/>
      <c r="D435" s="508"/>
      <c r="E435" s="508"/>
      <c r="F435" s="508"/>
      <c r="G435" s="508"/>
      <c r="H435" s="508"/>
      <c r="I435" s="508"/>
      <c r="J435" s="509"/>
      <c r="K435" s="506"/>
      <c r="L435" s="507"/>
      <c r="M435" s="507"/>
      <c r="N435" s="507"/>
      <c r="O435" s="506"/>
      <c r="P435" s="506"/>
      <c r="Q435" s="507"/>
      <c r="R435" s="507"/>
      <c r="S435" s="515"/>
      <c r="T435" s="506"/>
      <c r="U435" s="527"/>
    </row>
    <row r="436" spans="1:21">
      <c r="A436" s="479"/>
      <c r="B436" s="4"/>
      <c r="C436" s="506"/>
      <c r="D436" s="508"/>
      <c r="E436" s="508"/>
      <c r="F436" s="508"/>
      <c r="G436" s="508"/>
      <c r="H436" s="508"/>
      <c r="I436" s="508"/>
      <c r="J436" s="509"/>
      <c r="K436" s="506"/>
      <c r="L436" s="507"/>
      <c r="M436" s="507"/>
      <c r="N436" s="507"/>
      <c r="O436" s="506"/>
      <c r="P436" s="506"/>
      <c r="Q436" s="507"/>
      <c r="R436" s="507"/>
      <c r="S436" s="515"/>
      <c r="T436" s="506"/>
      <c r="U436" s="527"/>
    </row>
    <row r="437" spans="1:21">
      <c r="A437" s="502"/>
      <c r="B437" s="481"/>
      <c r="C437" s="510"/>
      <c r="D437" s="512"/>
      <c r="E437" s="512"/>
      <c r="F437" s="512"/>
      <c r="G437" s="512"/>
      <c r="H437" s="529"/>
      <c r="I437" s="512"/>
      <c r="J437" s="514"/>
      <c r="K437" s="510"/>
      <c r="L437" s="511"/>
      <c r="M437" s="529"/>
      <c r="N437" s="530"/>
      <c r="O437" s="510"/>
      <c r="P437" s="510"/>
      <c r="Q437" s="511"/>
      <c r="R437" s="511"/>
      <c r="S437" s="517"/>
      <c r="T437" s="510"/>
      <c r="U437" s="528"/>
    </row>
    <row r="438" spans="1:21">
      <c r="A438" s="478"/>
      <c r="B438" s="3"/>
      <c r="C438" s="536"/>
      <c r="D438" s="537"/>
      <c r="E438" s="537"/>
      <c r="F438" s="537"/>
      <c r="G438" s="537"/>
      <c r="H438" s="538"/>
      <c r="I438" s="537"/>
      <c r="J438" s="539"/>
      <c r="K438" s="536"/>
      <c r="L438" s="537"/>
      <c r="M438" s="538"/>
      <c r="N438" s="540"/>
      <c r="O438" s="536"/>
      <c r="P438" s="536"/>
      <c r="Q438" s="537"/>
      <c r="R438" s="537"/>
      <c r="S438" s="541"/>
      <c r="T438" s="536"/>
      <c r="U438" s="542"/>
    </row>
    <row r="439" spans="1:21">
      <c r="A439" s="479"/>
      <c r="B439" s="4"/>
      <c r="C439" s="543"/>
      <c r="D439" s="544"/>
      <c r="E439" s="544"/>
      <c r="F439" s="544"/>
      <c r="G439" s="544"/>
      <c r="H439" s="545"/>
      <c r="I439" s="544"/>
      <c r="J439" s="546"/>
      <c r="K439" s="543"/>
      <c r="L439" s="547"/>
      <c r="M439" s="545"/>
      <c r="N439" s="548"/>
      <c r="O439" s="543"/>
      <c r="P439" s="543"/>
      <c r="Q439" s="547"/>
      <c r="R439" s="547"/>
      <c r="S439" s="549"/>
      <c r="T439" s="543"/>
      <c r="U439" s="550"/>
    </row>
    <row r="440" spans="1:21">
      <c r="A440" s="479"/>
      <c r="B440" s="505"/>
      <c r="C440" s="510"/>
      <c r="D440" s="512"/>
      <c r="E440" s="512"/>
      <c r="F440" s="512"/>
      <c r="G440" s="512"/>
      <c r="H440" s="529"/>
      <c r="I440" s="512"/>
      <c r="J440" s="514"/>
      <c r="K440" s="510"/>
      <c r="L440" s="511"/>
      <c r="M440" s="529"/>
      <c r="N440" s="530"/>
      <c r="O440" s="510"/>
      <c r="P440" s="510"/>
      <c r="Q440" s="511"/>
      <c r="R440" s="511"/>
      <c r="S440" s="517"/>
      <c r="T440" s="510"/>
      <c r="U440" s="528"/>
    </row>
    <row r="441" spans="1:21">
      <c r="A441" s="479"/>
      <c r="B441" s="4"/>
      <c r="C441" s="536"/>
      <c r="D441" s="537"/>
      <c r="E441" s="537"/>
      <c r="F441" s="537"/>
      <c r="G441" s="537"/>
      <c r="H441" s="538"/>
      <c r="I441" s="537"/>
      <c r="J441" s="539"/>
      <c r="K441" s="536"/>
      <c r="L441" s="537"/>
      <c r="M441" s="538"/>
      <c r="N441" s="540"/>
      <c r="O441" s="536"/>
      <c r="P441" s="536"/>
      <c r="Q441" s="537"/>
      <c r="R441" s="537"/>
      <c r="S441" s="541"/>
      <c r="T441" s="536"/>
      <c r="U441" s="542"/>
    </row>
    <row r="442" spans="1:21">
      <c r="A442" s="414"/>
      <c r="B442" s="4"/>
      <c r="C442" s="543"/>
      <c r="D442" s="544"/>
      <c r="E442" s="544"/>
      <c r="F442" s="544"/>
      <c r="G442" s="544"/>
      <c r="H442" s="545"/>
      <c r="I442" s="544"/>
      <c r="J442" s="546"/>
      <c r="K442" s="543"/>
      <c r="L442" s="547"/>
      <c r="M442" s="545"/>
      <c r="N442" s="548"/>
      <c r="O442" s="543"/>
      <c r="P442" s="543"/>
      <c r="Q442" s="547"/>
      <c r="R442" s="547"/>
      <c r="S442" s="549"/>
      <c r="T442" s="543"/>
      <c r="U442" s="550"/>
    </row>
    <row r="443" spans="1:21">
      <c r="A443" s="414"/>
      <c r="B443" s="480"/>
      <c r="C443" s="510"/>
      <c r="D443" s="512"/>
      <c r="E443" s="512"/>
      <c r="F443" s="512"/>
      <c r="G443" s="512"/>
      <c r="H443" s="529"/>
      <c r="I443" s="512"/>
      <c r="J443" s="514"/>
      <c r="K443" s="510"/>
      <c r="L443" s="511"/>
      <c r="M443" s="529"/>
      <c r="N443" s="530"/>
      <c r="O443" s="510"/>
      <c r="P443" s="510"/>
      <c r="Q443" s="511"/>
      <c r="R443" s="511"/>
      <c r="S443" s="517"/>
      <c r="T443" s="510"/>
      <c r="U443" s="528"/>
    </row>
    <row r="444" spans="1:21">
      <c r="A444" s="414"/>
      <c r="B444" s="4"/>
      <c r="C444" s="536"/>
      <c r="D444" s="537"/>
      <c r="E444" s="537"/>
      <c r="F444" s="537"/>
      <c r="G444" s="537"/>
      <c r="H444" s="538"/>
      <c r="I444" s="537"/>
      <c r="J444" s="539"/>
      <c r="K444" s="536"/>
      <c r="L444" s="537"/>
      <c r="M444" s="538"/>
      <c r="N444" s="540"/>
      <c r="O444" s="536"/>
      <c r="P444" s="536"/>
      <c r="Q444" s="537"/>
      <c r="R444" s="537"/>
      <c r="S444" s="541"/>
      <c r="T444" s="536"/>
      <c r="U444" s="542"/>
    </row>
    <row r="445" spans="1:21">
      <c r="A445" s="414"/>
      <c r="B445" s="4"/>
      <c r="C445" s="543"/>
      <c r="D445" s="544"/>
      <c r="E445" s="544"/>
      <c r="F445" s="544"/>
      <c r="G445" s="544"/>
      <c r="H445" s="545"/>
      <c r="I445" s="544"/>
      <c r="J445" s="546"/>
      <c r="K445" s="543"/>
      <c r="L445" s="547"/>
      <c r="M445" s="545"/>
      <c r="N445" s="548"/>
      <c r="O445" s="543"/>
      <c r="P445" s="543"/>
      <c r="Q445" s="547"/>
      <c r="R445" s="547"/>
      <c r="S445" s="549"/>
      <c r="T445" s="543"/>
      <c r="U445" s="550"/>
    </row>
    <row r="446" spans="1:21">
      <c r="A446" s="414"/>
      <c r="B446" s="480"/>
      <c r="C446" s="510"/>
      <c r="D446" s="512"/>
      <c r="E446" s="512"/>
      <c r="F446" s="512"/>
      <c r="G446" s="512"/>
      <c r="H446" s="529"/>
      <c r="I446" s="512"/>
      <c r="J446" s="514"/>
      <c r="K446" s="510"/>
      <c r="L446" s="511"/>
      <c r="M446" s="529"/>
      <c r="N446" s="530"/>
      <c r="O446" s="510"/>
      <c r="P446" s="510"/>
      <c r="Q446" s="511"/>
      <c r="R446" s="511"/>
      <c r="S446" s="517"/>
      <c r="T446" s="510"/>
      <c r="U446" s="528"/>
    </row>
    <row r="447" spans="1:21">
      <c r="A447" s="414"/>
      <c r="B447" s="4"/>
      <c r="C447" s="536"/>
      <c r="D447" s="537"/>
      <c r="E447" s="537"/>
      <c r="F447" s="537"/>
      <c r="G447" s="537"/>
      <c r="H447" s="538"/>
      <c r="I447" s="537"/>
      <c r="J447" s="539"/>
      <c r="K447" s="536"/>
      <c r="L447" s="537"/>
      <c r="M447" s="538"/>
      <c r="N447" s="540"/>
      <c r="O447" s="536"/>
      <c r="P447" s="536"/>
      <c r="Q447" s="537"/>
      <c r="R447" s="537"/>
      <c r="S447" s="541"/>
      <c r="T447" s="536"/>
      <c r="U447" s="542"/>
    </row>
    <row r="448" spans="1:21">
      <c r="A448" s="414"/>
      <c r="B448" s="4"/>
      <c r="C448" s="543"/>
      <c r="D448" s="544"/>
      <c r="E448" s="544"/>
      <c r="F448" s="544"/>
      <c r="G448" s="544"/>
      <c r="H448" s="545"/>
      <c r="I448" s="544"/>
      <c r="J448" s="546"/>
      <c r="K448" s="543"/>
      <c r="L448" s="547"/>
      <c r="M448" s="545"/>
      <c r="N448" s="548"/>
      <c r="O448" s="543"/>
      <c r="P448" s="543"/>
      <c r="Q448" s="547"/>
      <c r="R448" s="547"/>
      <c r="S448" s="549"/>
      <c r="T448" s="543"/>
      <c r="U448" s="550"/>
    </row>
    <row r="449" spans="1:21">
      <c r="A449" s="414"/>
      <c r="B449" s="480"/>
      <c r="C449" s="510"/>
      <c r="D449" s="512"/>
      <c r="E449" s="512"/>
      <c r="F449" s="512"/>
      <c r="G449" s="512"/>
      <c r="H449" s="529"/>
      <c r="I449" s="512"/>
      <c r="J449" s="514"/>
      <c r="K449" s="510"/>
      <c r="L449" s="511"/>
      <c r="M449" s="529"/>
      <c r="N449" s="530"/>
      <c r="O449" s="510"/>
      <c r="P449" s="510"/>
      <c r="Q449" s="511"/>
      <c r="R449" s="511"/>
      <c r="S449" s="517"/>
      <c r="T449" s="510"/>
      <c r="U449" s="528"/>
    </row>
    <row r="450" spans="1:21">
      <c r="A450" s="479"/>
      <c r="B450" s="4"/>
      <c r="C450" s="536"/>
      <c r="D450" s="537"/>
      <c r="E450" s="537"/>
      <c r="F450" s="537"/>
      <c r="G450" s="537"/>
      <c r="H450" s="538"/>
      <c r="I450" s="537"/>
      <c r="J450" s="539"/>
      <c r="K450" s="536"/>
      <c r="L450" s="537"/>
      <c r="M450" s="538"/>
      <c r="N450" s="540"/>
      <c r="O450" s="536"/>
      <c r="P450" s="536"/>
      <c r="Q450" s="537"/>
      <c r="R450" s="537"/>
      <c r="S450" s="541"/>
      <c r="T450" s="536"/>
      <c r="U450" s="542"/>
    </row>
    <row r="451" spans="1:21">
      <c r="A451" s="479"/>
      <c r="B451" s="4"/>
      <c r="C451" s="543"/>
      <c r="D451" s="544"/>
      <c r="E451" s="544"/>
      <c r="F451" s="544"/>
      <c r="G451" s="544"/>
      <c r="H451" s="545"/>
      <c r="I451" s="544"/>
      <c r="J451" s="546"/>
      <c r="K451" s="543"/>
      <c r="L451" s="547"/>
      <c r="M451" s="545"/>
      <c r="N451" s="548"/>
      <c r="O451" s="543"/>
      <c r="P451" s="543"/>
      <c r="Q451" s="547"/>
      <c r="R451" s="547"/>
      <c r="S451" s="549"/>
      <c r="T451" s="543"/>
      <c r="U451" s="550"/>
    </row>
    <row r="452" spans="1:21">
      <c r="A452" s="479"/>
      <c r="B452" s="480"/>
      <c r="C452" s="510"/>
      <c r="D452" s="512"/>
      <c r="E452" s="512"/>
      <c r="F452" s="512"/>
      <c r="G452" s="512"/>
      <c r="H452" s="529"/>
      <c r="I452" s="512"/>
      <c r="J452" s="514"/>
      <c r="K452" s="510"/>
      <c r="L452" s="511"/>
      <c r="M452" s="529"/>
      <c r="N452" s="530"/>
      <c r="O452" s="510"/>
      <c r="P452" s="510"/>
      <c r="Q452" s="511"/>
      <c r="R452" s="511"/>
      <c r="S452" s="517"/>
      <c r="T452" s="510"/>
      <c r="U452" s="528"/>
    </row>
    <row r="453" spans="1:21">
      <c r="A453" s="479"/>
      <c r="B453" s="4"/>
      <c r="C453" s="536"/>
      <c r="D453" s="537"/>
      <c r="E453" s="537"/>
      <c r="F453" s="537"/>
      <c r="G453" s="537"/>
      <c r="H453" s="538"/>
      <c r="I453" s="537"/>
      <c r="J453" s="539"/>
      <c r="K453" s="536"/>
      <c r="L453" s="537"/>
      <c r="M453" s="538"/>
      <c r="N453" s="540"/>
      <c r="O453" s="536"/>
      <c r="P453" s="536"/>
      <c r="Q453" s="537"/>
      <c r="R453" s="537"/>
      <c r="S453" s="541"/>
      <c r="T453" s="536"/>
      <c r="U453" s="542"/>
    </row>
    <row r="454" spans="1:21">
      <c r="A454" s="479"/>
      <c r="B454" s="4"/>
      <c r="C454" s="543"/>
      <c r="D454" s="544"/>
      <c r="E454" s="544"/>
      <c r="F454" s="544"/>
      <c r="G454" s="544"/>
      <c r="H454" s="545"/>
      <c r="I454" s="544"/>
      <c r="J454" s="546"/>
      <c r="K454" s="543"/>
      <c r="L454" s="547"/>
      <c r="M454" s="545"/>
      <c r="N454" s="548"/>
      <c r="O454" s="543"/>
      <c r="P454" s="543"/>
      <c r="Q454" s="547"/>
      <c r="R454" s="547"/>
      <c r="S454" s="549"/>
      <c r="T454" s="543"/>
      <c r="U454" s="550"/>
    </row>
    <row r="455" spans="1:21">
      <c r="A455" s="479"/>
      <c r="B455" s="480"/>
      <c r="C455" s="510"/>
      <c r="D455" s="512"/>
      <c r="E455" s="512"/>
      <c r="F455" s="512"/>
      <c r="G455" s="512"/>
      <c r="H455" s="529"/>
      <c r="I455" s="512"/>
      <c r="J455" s="514"/>
      <c r="K455" s="510"/>
      <c r="L455" s="511"/>
      <c r="M455" s="529"/>
      <c r="N455" s="530"/>
      <c r="O455" s="510"/>
      <c r="P455" s="510"/>
      <c r="Q455" s="511"/>
      <c r="R455" s="511"/>
      <c r="S455" s="517"/>
      <c r="T455" s="510"/>
      <c r="U455" s="528"/>
    </row>
    <row r="456" spans="1:21">
      <c r="A456" s="479"/>
      <c r="B456" s="4"/>
      <c r="C456" s="536"/>
      <c r="D456" s="537"/>
      <c r="E456" s="537"/>
      <c r="F456" s="537"/>
      <c r="G456" s="537"/>
      <c r="H456" s="538"/>
      <c r="I456" s="537"/>
      <c r="J456" s="539"/>
      <c r="K456" s="536"/>
      <c r="L456" s="537"/>
      <c r="M456" s="538"/>
      <c r="N456" s="540"/>
      <c r="O456" s="536"/>
      <c r="P456" s="536"/>
      <c r="Q456" s="537"/>
      <c r="R456" s="537"/>
      <c r="S456" s="541"/>
      <c r="T456" s="536"/>
      <c r="U456" s="542"/>
    </row>
    <row r="457" spans="1:21">
      <c r="A457" s="479"/>
      <c r="B457" s="4"/>
      <c r="C457" s="543"/>
      <c r="D457" s="544"/>
      <c r="E457" s="544"/>
      <c r="F457" s="544"/>
      <c r="G457" s="544"/>
      <c r="H457" s="545"/>
      <c r="I457" s="544"/>
      <c r="J457" s="546"/>
      <c r="K457" s="543"/>
      <c r="L457" s="547"/>
      <c r="M457" s="545"/>
      <c r="N457" s="548"/>
      <c r="O457" s="543"/>
      <c r="P457" s="543"/>
      <c r="Q457" s="547"/>
      <c r="R457" s="547"/>
      <c r="S457" s="549"/>
      <c r="T457" s="543"/>
      <c r="U457" s="550"/>
    </row>
    <row r="458" spans="1:21">
      <c r="A458" s="479"/>
      <c r="B458" s="480"/>
      <c r="C458" s="510"/>
      <c r="D458" s="512"/>
      <c r="E458" s="512"/>
      <c r="F458" s="512"/>
      <c r="G458" s="512"/>
      <c r="H458" s="529"/>
      <c r="I458" s="512"/>
      <c r="J458" s="514"/>
      <c r="K458" s="510"/>
      <c r="L458" s="511"/>
      <c r="M458" s="529"/>
      <c r="N458" s="530"/>
      <c r="O458" s="510"/>
      <c r="P458" s="510"/>
      <c r="Q458" s="511"/>
      <c r="R458" s="511"/>
      <c r="S458" s="517"/>
      <c r="T458" s="510"/>
      <c r="U458" s="528"/>
    </row>
    <row r="459" spans="1:21">
      <c r="A459" s="479"/>
      <c r="B459" s="4"/>
      <c r="C459" s="536"/>
      <c r="D459" s="537"/>
      <c r="E459" s="537"/>
      <c r="F459" s="537"/>
      <c r="G459" s="537"/>
      <c r="H459" s="538"/>
      <c r="I459" s="537"/>
      <c r="J459" s="539"/>
      <c r="K459" s="536"/>
      <c r="L459" s="537"/>
      <c r="M459" s="538"/>
      <c r="N459" s="540"/>
      <c r="O459" s="536"/>
      <c r="P459" s="536"/>
      <c r="Q459" s="537"/>
      <c r="R459" s="537"/>
      <c r="S459" s="541"/>
      <c r="T459" s="536"/>
      <c r="U459" s="542"/>
    </row>
    <row r="460" spans="1:21">
      <c r="A460" s="479"/>
      <c r="B460" s="4"/>
      <c r="C460" s="543"/>
      <c r="D460" s="544"/>
      <c r="E460" s="544"/>
      <c r="F460" s="544"/>
      <c r="G460" s="544"/>
      <c r="H460" s="545"/>
      <c r="I460" s="544"/>
      <c r="J460" s="546"/>
      <c r="K460" s="543"/>
      <c r="L460" s="547"/>
      <c r="M460" s="545"/>
      <c r="N460" s="548"/>
      <c r="O460" s="543"/>
      <c r="P460" s="543"/>
      <c r="Q460" s="547"/>
      <c r="R460" s="547"/>
      <c r="S460" s="549"/>
      <c r="T460" s="543"/>
      <c r="U460" s="550"/>
    </row>
    <row r="461" spans="1:21">
      <c r="A461" s="479"/>
      <c r="B461" s="480"/>
      <c r="C461" s="510"/>
      <c r="D461" s="512"/>
      <c r="E461" s="512"/>
      <c r="F461" s="512"/>
      <c r="G461" s="512"/>
      <c r="H461" s="529"/>
      <c r="I461" s="512"/>
      <c r="J461" s="514"/>
      <c r="K461" s="510"/>
      <c r="L461" s="511"/>
      <c r="M461" s="529"/>
      <c r="N461" s="530"/>
      <c r="O461" s="510"/>
      <c r="P461" s="510"/>
      <c r="Q461" s="511"/>
      <c r="R461" s="511"/>
      <c r="S461" s="517"/>
      <c r="T461" s="510"/>
      <c r="U461" s="528"/>
    </row>
    <row r="462" spans="1:21">
      <c r="A462" s="479"/>
      <c r="B462" s="4"/>
      <c r="C462" s="536"/>
      <c r="D462" s="537"/>
      <c r="E462" s="537"/>
      <c r="F462" s="537"/>
      <c r="G462" s="537"/>
      <c r="H462" s="538"/>
      <c r="I462" s="537"/>
      <c r="J462" s="539"/>
      <c r="K462" s="536"/>
      <c r="L462" s="537"/>
      <c r="M462" s="538"/>
      <c r="N462" s="540"/>
      <c r="O462" s="536"/>
      <c r="P462" s="536"/>
      <c r="Q462" s="537"/>
      <c r="R462" s="537"/>
      <c r="S462" s="541"/>
      <c r="T462" s="536"/>
      <c r="U462" s="542"/>
    </row>
    <row r="463" spans="1:21">
      <c r="A463" s="479"/>
      <c r="B463" s="4"/>
      <c r="C463" s="543"/>
      <c r="D463" s="544"/>
      <c r="E463" s="544"/>
      <c r="F463" s="544"/>
      <c r="G463" s="544"/>
      <c r="H463" s="545"/>
      <c r="I463" s="544"/>
      <c r="J463" s="546"/>
      <c r="K463" s="543"/>
      <c r="L463" s="547"/>
      <c r="M463" s="545"/>
      <c r="N463" s="548"/>
      <c r="O463" s="543"/>
      <c r="P463" s="543"/>
      <c r="Q463" s="547"/>
      <c r="R463" s="547"/>
      <c r="S463" s="549"/>
      <c r="T463" s="543"/>
      <c r="U463" s="550"/>
    </row>
    <row r="464" spans="1:21">
      <c r="A464" s="479"/>
      <c r="B464" s="480"/>
      <c r="C464" s="510"/>
      <c r="D464" s="512"/>
      <c r="E464" s="512"/>
      <c r="F464" s="512"/>
      <c r="G464" s="512"/>
      <c r="H464" s="529"/>
      <c r="I464" s="512"/>
      <c r="J464" s="514"/>
      <c r="K464" s="510"/>
      <c r="L464" s="511"/>
      <c r="M464" s="529"/>
      <c r="N464" s="530"/>
      <c r="O464" s="510"/>
      <c r="P464" s="510"/>
      <c r="Q464" s="511"/>
      <c r="R464" s="511"/>
      <c r="S464" s="517"/>
      <c r="T464" s="510"/>
      <c r="U464" s="528"/>
    </row>
    <row r="465" spans="1:21">
      <c r="A465" s="479"/>
      <c r="B465" s="4"/>
      <c r="C465" s="536"/>
      <c r="D465" s="537"/>
      <c r="E465" s="537"/>
      <c r="F465" s="537"/>
      <c r="G465" s="537"/>
      <c r="H465" s="538"/>
      <c r="I465" s="537"/>
      <c r="J465" s="539"/>
      <c r="K465" s="536"/>
      <c r="L465" s="537"/>
      <c r="M465" s="538"/>
      <c r="N465" s="540"/>
      <c r="O465" s="536"/>
      <c r="P465" s="536"/>
      <c r="Q465" s="537"/>
      <c r="R465" s="537"/>
      <c r="S465" s="541"/>
      <c r="T465" s="536"/>
      <c r="U465" s="542"/>
    </row>
    <row r="466" spans="1:21">
      <c r="A466" s="479"/>
      <c r="B466" s="4"/>
      <c r="C466" s="543"/>
      <c r="D466" s="544"/>
      <c r="E466" s="544"/>
      <c r="F466" s="544"/>
      <c r="G466" s="544"/>
      <c r="H466" s="545"/>
      <c r="I466" s="544"/>
      <c r="J466" s="546"/>
      <c r="K466" s="543"/>
      <c r="L466" s="547"/>
      <c r="M466" s="545"/>
      <c r="N466" s="548"/>
      <c r="O466" s="543"/>
      <c r="P466" s="543"/>
      <c r="Q466" s="547"/>
      <c r="R466" s="547"/>
      <c r="S466" s="549"/>
      <c r="T466" s="543"/>
      <c r="U466" s="550"/>
    </row>
    <row r="467" spans="1:21">
      <c r="A467" s="479"/>
      <c r="B467" s="480"/>
      <c r="C467" s="510"/>
      <c r="D467" s="512"/>
      <c r="E467" s="512"/>
      <c r="F467" s="512"/>
      <c r="G467" s="512"/>
      <c r="H467" s="529"/>
      <c r="I467" s="512"/>
      <c r="J467" s="514"/>
      <c r="K467" s="510"/>
      <c r="L467" s="511"/>
      <c r="M467" s="529"/>
      <c r="N467" s="530"/>
      <c r="O467" s="510"/>
      <c r="P467" s="510"/>
      <c r="Q467" s="511"/>
      <c r="R467" s="511"/>
      <c r="S467" s="517"/>
      <c r="T467" s="510"/>
      <c r="U467" s="528"/>
    </row>
    <row r="468" spans="1:21">
      <c r="A468" s="479"/>
      <c r="B468" s="4"/>
      <c r="C468" s="536"/>
      <c r="D468" s="537"/>
      <c r="E468" s="537"/>
      <c r="F468" s="537"/>
      <c r="G468" s="537"/>
      <c r="H468" s="538"/>
      <c r="I468" s="537"/>
      <c r="J468" s="539"/>
      <c r="K468" s="536"/>
      <c r="L468" s="537"/>
      <c r="M468" s="538"/>
      <c r="N468" s="540"/>
      <c r="O468" s="536"/>
      <c r="P468" s="536"/>
      <c r="Q468" s="537"/>
      <c r="R468" s="537"/>
      <c r="S468" s="541"/>
      <c r="T468" s="536"/>
      <c r="U468" s="542"/>
    </row>
    <row r="469" spans="1:21">
      <c r="A469" s="479"/>
      <c r="B469" s="4"/>
      <c r="C469" s="543"/>
      <c r="D469" s="544"/>
      <c r="E469" s="544"/>
      <c r="F469" s="544"/>
      <c r="G469" s="544"/>
      <c r="H469" s="545"/>
      <c r="I469" s="544"/>
      <c r="J469" s="546"/>
      <c r="K469" s="543"/>
      <c r="L469" s="547"/>
      <c r="M469" s="545"/>
      <c r="N469" s="548"/>
      <c r="O469" s="543"/>
      <c r="P469" s="543"/>
      <c r="Q469" s="547"/>
      <c r="R469" s="547"/>
      <c r="S469" s="549"/>
      <c r="T469" s="543"/>
      <c r="U469" s="550"/>
    </row>
    <row r="470" spans="1:21">
      <c r="A470" s="479"/>
      <c r="B470" s="480"/>
      <c r="C470" s="551"/>
      <c r="D470" s="552"/>
      <c r="E470" s="552"/>
      <c r="F470" s="552"/>
      <c r="G470" s="552"/>
      <c r="H470" s="529"/>
      <c r="I470" s="552"/>
      <c r="J470" s="531"/>
      <c r="K470" s="551"/>
      <c r="L470" s="552"/>
      <c r="M470" s="529"/>
      <c r="N470" s="530"/>
      <c r="O470" s="551"/>
      <c r="P470" s="551"/>
      <c r="Q470" s="552"/>
      <c r="R470" s="552"/>
      <c r="S470" s="553"/>
      <c r="T470" s="551"/>
      <c r="U470" s="554"/>
    </row>
    <row r="471" spans="1:21">
      <c r="A471" s="479"/>
      <c r="B471" s="4"/>
      <c r="C471" s="506"/>
      <c r="D471" s="508"/>
      <c r="E471" s="508"/>
      <c r="F471" s="508"/>
      <c r="G471" s="508"/>
      <c r="H471" s="508"/>
      <c r="I471" s="508"/>
      <c r="J471" s="509"/>
      <c r="K471" s="506"/>
      <c r="L471" s="507"/>
      <c r="M471" s="507"/>
      <c r="N471" s="507"/>
      <c r="O471" s="506"/>
      <c r="P471" s="506"/>
      <c r="Q471" s="507"/>
      <c r="R471" s="507"/>
      <c r="S471" s="515"/>
      <c r="T471" s="506"/>
      <c r="U471" s="527"/>
    </row>
    <row r="472" spans="1:21">
      <c r="A472" s="479"/>
      <c r="B472" s="4"/>
      <c r="C472" s="506"/>
      <c r="D472" s="508"/>
      <c r="E472" s="508"/>
      <c r="F472" s="508"/>
      <c r="G472" s="508"/>
      <c r="H472" s="508"/>
      <c r="I472" s="508"/>
      <c r="J472" s="509"/>
      <c r="K472" s="506"/>
      <c r="L472" s="507"/>
      <c r="M472" s="507"/>
      <c r="N472" s="507"/>
      <c r="O472" s="506"/>
      <c r="P472" s="506"/>
      <c r="Q472" s="507"/>
      <c r="R472" s="507"/>
      <c r="S472" s="515"/>
      <c r="T472" s="506"/>
      <c r="U472" s="527"/>
    </row>
    <row r="473" spans="1:21">
      <c r="A473" s="502"/>
      <c r="B473" s="481"/>
      <c r="C473" s="510"/>
      <c r="D473" s="512"/>
      <c r="E473" s="512"/>
      <c r="F473" s="512"/>
      <c r="G473" s="512"/>
      <c r="H473" s="529"/>
      <c r="I473" s="512"/>
      <c r="J473" s="514"/>
      <c r="K473" s="510"/>
      <c r="L473" s="511"/>
      <c r="M473" s="529"/>
      <c r="N473" s="530"/>
      <c r="O473" s="510"/>
      <c r="P473" s="510"/>
      <c r="Q473" s="511"/>
      <c r="R473" s="511"/>
      <c r="S473" s="517"/>
      <c r="T473" s="510"/>
      <c r="U473" s="528"/>
    </row>
    <row r="474" spans="1:21">
      <c r="A474" s="478"/>
      <c r="B474" s="3"/>
      <c r="C474" s="536"/>
      <c r="D474" s="537"/>
      <c r="E474" s="537"/>
      <c r="F474" s="537"/>
      <c r="G474" s="537"/>
      <c r="H474" s="538"/>
      <c r="I474" s="537"/>
      <c r="J474" s="539"/>
      <c r="K474" s="536"/>
      <c r="L474" s="537"/>
      <c r="M474" s="538"/>
      <c r="N474" s="540"/>
      <c r="O474" s="536"/>
      <c r="P474" s="536"/>
      <c r="Q474" s="537"/>
      <c r="R474" s="537"/>
      <c r="S474" s="541"/>
      <c r="T474" s="536"/>
      <c r="U474" s="542"/>
    </row>
    <row r="475" spans="1:21">
      <c r="A475" s="479"/>
      <c r="B475" s="4"/>
      <c r="C475" s="543"/>
      <c r="D475" s="544"/>
      <c r="E475" s="544"/>
      <c r="F475" s="544"/>
      <c r="G475" s="544"/>
      <c r="H475" s="545"/>
      <c r="I475" s="544"/>
      <c r="J475" s="546"/>
      <c r="K475" s="543"/>
      <c r="L475" s="547"/>
      <c r="M475" s="545"/>
      <c r="N475" s="548"/>
      <c r="O475" s="543"/>
      <c r="P475" s="543"/>
      <c r="Q475" s="547"/>
      <c r="R475" s="547"/>
      <c r="S475" s="549"/>
      <c r="T475" s="543"/>
      <c r="U475" s="550"/>
    </row>
    <row r="476" spans="1:21">
      <c r="A476" s="479"/>
      <c r="B476" s="505"/>
      <c r="C476" s="510"/>
      <c r="D476" s="512"/>
      <c r="E476" s="512"/>
      <c r="F476" s="512"/>
      <c r="G476" s="512"/>
      <c r="H476" s="529"/>
      <c r="I476" s="512"/>
      <c r="J476" s="514"/>
      <c r="K476" s="510"/>
      <c r="L476" s="511"/>
      <c r="M476" s="529"/>
      <c r="N476" s="530"/>
      <c r="O476" s="510"/>
      <c r="P476" s="510"/>
      <c r="Q476" s="511"/>
      <c r="R476" s="511"/>
      <c r="S476" s="517"/>
      <c r="T476" s="510"/>
      <c r="U476" s="528"/>
    </row>
    <row r="477" spans="1:21">
      <c r="A477" s="479"/>
      <c r="B477" s="4"/>
      <c r="C477" s="536"/>
      <c r="D477" s="537"/>
      <c r="E477" s="537"/>
      <c r="F477" s="537"/>
      <c r="G477" s="537"/>
      <c r="H477" s="538"/>
      <c r="I477" s="537"/>
      <c r="J477" s="539"/>
      <c r="K477" s="536"/>
      <c r="L477" s="537"/>
      <c r="M477" s="538"/>
      <c r="N477" s="540"/>
      <c r="O477" s="536"/>
      <c r="P477" s="536"/>
      <c r="Q477" s="537"/>
      <c r="R477" s="537"/>
      <c r="S477" s="541"/>
      <c r="T477" s="536"/>
      <c r="U477" s="542"/>
    </row>
    <row r="478" spans="1:21">
      <c r="A478" s="414"/>
      <c r="B478" s="4"/>
      <c r="C478" s="543"/>
      <c r="D478" s="544"/>
      <c r="E478" s="544"/>
      <c r="F478" s="544"/>
      <c r="G478" s="544"/>
      <c r="H478" s="545"/>
      <c r="I478" s="544"/>
      <c r="J478" s="546"/>
      <c r="K478" s="543"/>
      <c r="L478" s="547"/>
      <c r="M478" s="545"/>
      <c r="N478" s="548"/>
      <c r="O478" s="543"/>
      <c r="P478" s="543"/>
      <c r="Q478" s="547"/>
      <c r="R478" s="547"/>
      <c r="S478" s="549"/>
      <c r="T478" s="543"/>
      <c r="U478" s="550"/>
    </row>
    <row r="479" spans="1:21">
      <c r="A479" s="414"/>
      <c r="B479" s="480"/>
      <c r="C479" s="510"/>
      <c r="D479" s="512"/>
      <c r="E479" s="512"/>
      <c r="F479" s="512"/>
      <c r="G479" s="512"/>
      <c r="H479" s="529"/>
      <c r="I479" s="512"/>
      <c r="J479" s="514"/>
      <c r="K479" s="510"/>
      <c r="L479" s="511"/>
      <c r="M479" s="529"/>
      <c r="N479" s="530"/>
      <c r="O479" s="510"/>
      <c r="P479" s="510"/>
      <c r="Q479" s="511"/>
      <c r="R479" s="511"/>
      <c r="S479" s="517"/>
      <c r="T479" s="510"/>
      <c r="U479" s="528"/>
    </row>
    <row r="480" spans="1:21">
      <c r="A480" s="414"/>
      <c r="B480" s="4"/>
      <c r="C480" s="536"/>
      <c r="D480" s="537"/>
      <c r="E480" s="537"/>
      <c r="F480" s="537"/>
      <c r="G480" s="537"/>
      <c r="H480" s="538"/>
      <c r="I480" s="537"/>
      <c r="J480" s="539"/>
      <c r="K480" s="536"/>
      <c r="L480" s="537"/>
      <c r="M480" s="538"/>
      <c r="N480" s="540"/>
      <c r="O480" s="536"/>
      <c r="P480" s="536"/>
      <c r="Q480" s="537"/>
      <c r="R480" s="537"/>
      <c r="S480" s="541"/>
      <c r="T480" s="536"/>
      <c r="U480" s="542"/>
    </row>
    <row r="481" spans="1:21">
      <c r="A481" s="414"/>
      <c r="B481" s="4"/>
      <c r="C481" s="543"/>
      <c r="D481" s="544"/>
      <c r="E481" s="544"/>
      <c r="F481" s="544"/>
      <c r="G481" s="544"/>
      <c r="H481" s="545"/>
      <c r="I481" s="544"/>
      <c r="J481" s="546"/>
      <c r="K481" s="543"/>
      <c r="L481" s="547"/>
      <c r="M481" s="545"/>
      <c r="N481" s="548"/>
      <c r="O481" s="543"/>
      <c r="P481" s="543"/>
      <c r="Q481" s="547"/>
      <c r="R481" s="547"/>
      <c r="S481" s="549"/>
      <c r="T481" s="543"/>
      <c r="U481" s="550"/>
    </row>
    <row r="482" spans="1:21">
      <c r="A482" s="414"/>
      <c r="B482" s="480"/>
      <c r="C482" s="510"/>
      <c r="D482" s="512"/>
      <c r="E482" s="512"/>
      <c r="F482" s="512"/>
      <c r="G482" s="512"/>
      <c r="H482" s="529"/>
      <c r="I482" s="512"/>
      <c r="J482" s="514"/>
      <c r="K482" s="510"/>
      <c r="L482" s="511"/>
      <c r="M482" s="529"/>
      <c r="N482" s="530"/>
      <c r="O482" s="510"/>
      <c r="P482" s="510"/>
      <c r="Q482" s="511"/>
      <c r="R482" s="511"/>
      <c r="S482" s="517"/>
      <c r="T482" s="510"/>
      <c r="U482" s="528"/>
    </row>
    <row r="483" spans="1:21">
      <c r="A483" s="414"/>
      <c r="B483" s="4"/>
      <c r="C483" s="536"/>
      <c r="D483" s="537"/>
      <c r="E483" s="537"/>
      <c r="F483" s="537"/>
      <c r="G483" s="537"/>
      <c r="H483" s="538"/>
      <c r="I483" s="537"/>
      <c r="J483" s="539"/>
      <c r="K483" s="536"/>
      <c r="L483" s="537"/>
      <c r="M483" s="538"/>
      <c r="N483" s="540"/>
      <c r="O483" s="536"/>
      <c r="P483" s="536"/>
      <c r="Q483" s="537"/>
      <c r="R483" s="537"/>
      <c r="S483" s="541"/>
      <c r="T483" s="536"/>
      <c r="U483" s="542"/>
    </row>
    <row r="484" spans="1:21">
      <c r="A484" s="414"/>
      <c r="B484" s="4"/>
      <c r="C484" s="543"/>
      <c r="D484" s="544"/>
      <c r="E484" s="544"/>
      <c r="F484" s="544"/>
      <c r="G484" s="544"/>
      <c r="H484" s="545"/>
      <c r="I484" s="544"/>
      <c r="J484" s="546"/>
      <c r="K484" s="543"/>
      <c r="L484" s="547"/>
      <c r="M484" s="545"/>
      <c r="N484" s="548"/>
      <c r="O484" s="543"/>
      <c r="P484" s="543"/>
      <c r="Q484" s="547"/>
      <c r="R484" s="547"/>
      <c r="S484" s="549"/>
      <c r="T484" s="543"/>
      <c r="U484" s="550"/>
    </row>
    <row r="485" spans="1:21">
      <c r="A485" s="414"/>
      <c r="B485" s="480"/>
      <c r="C485" s="510"/>
      <c r="D485" s="512"/>
      <c r="E485" s="512"/>
      <c r="F485" s="512"/>
      <c r="G485" s="512"/>
      <c r="H485" s="529"/>
      <c r="I485" s="512"/>
      <c r="J485" s="514"/>
      <c r="K485" s="510"/>
      <c r="L485" s="511"/>
      <c r="M485" s="529"/>
      <c r="N485" s="530"/>
      <c r="O485" s="510"/>
      <c r="P485" s="510"/>
      <c r="Q485" s="511"/>
      <c r="R485" s="511"/>
      <c r="S485" s="517"/>
      <c r="T485" s="510"/>
      <c r="U485" s="528"/>
    </row>
    <row r="486" spans="1:21">
      <c r="A486" s="479"/>
      <c r="B486" s="4"/>
      <c r="C486" s="536"/>
      <c r="D486" s="537"/>
      <c r="E486" s="537"/>
      <c r="F486" s="537"/>
      <c r="G486" s="537"/>
      <c r="H486" s="538"/>
      <c r="I486" s="537"/>
      <c r="J486" s="539"/>
      <c r="K486" s="536"/>
      <c r="L486" s="537"/>
      <c r="M486" s="538"/>
      <c r="N486" s="540"/>
      <c r="O486" s="536"/>
      <c r="P486" s="536"/>
      <c r="Q486" s="537"/>
      <c r="R486" s="537"/>
      <c r="S486" s="541"/>
      <c r="T486" s="536"/>
      <c r="U486" s="542"/>
    </row>
    <row r="487" spans="1:21">
      <c r="A487" s="479"/>
      <c r="B487" s="4"/>
      <c r="C487" s="543"/>
      <c r="D487" s="544"/>
      <c r="E487" s="544"/>
      <c r="F487" s="544"/>
      <c r="G487" s="544"/>
      <c r="H487" s="545"/>
      <c r="I487" s="544"/>
      <c r="J487" s="546"/>
      <c r="K487" s="543"/>
      <c r="L487" s="547"/>
      <c r="M487" s="545"/>
      <c r="N487" s="548"/>
      <c r="O487" s="543"/>
      <c r="P487" s="543"/>
      <c r="Q487" s="547"/>
      <c r="R487" s="547"/>
      <c r="S487" s="549"/>
      <c r="T487" s="543"/>
      <c r="U487" s="550"/>
    </row>
    <row r="488" spans="1:21">
      <c r="A488" s="479"/>
      <c r="B488" s="480"/>
      <c r="C488" s="510"/>
      <c r="D488" s="512"/>
      <c r="E488" s="512"/>
      <c r="F488" s="512"/>
      <c r="G488" s="512"/>
      <c r="H488" s="529"/>
      <c r="I488" s="512"/>
      <c r="J488" s="514"/>
      <c r="K488" s="510"/>
      <c r="L488" s="511"/>
      <c r="M488" s="529"/>
      <c r="N488" s="530"/>
      <c r="O488" s="510"/>
      <c r="P488" s="510"/>
      <c r="Q488" s="511"/>
      <c r="R488" s="511"/>
      <c r="S488" s="517"/>
      <c r="T488" s="510"/>
      <c r="U488" s="528"/>
    </row>
    <row r="489" spans="1:21">
      <c r="A489" s="479"/>
      <c r="B489" s="4"/>
      <c r="C489" s="536"/>
      <c r="D489" s="537"/>
      <c r="E489" s="537"/>
      <c r="F489" s="537"/>
      <c r="G489" s="537"/>
      <c r="H489" s="538"/>
      <c r="I489" s="537"/>
      <c r="J489" s="539"/>
      <c r="K489" s="536"/>
      <c r="L489" s="537"/>
      <c r="M489" s="538"/>
      <c r="N489" s="540"/>
      <c r="O489" s="536"/>
      <c r="P489" s="536"/>
      <c r="Q489" s="537"/>
      <c r="R489" s="537"/>
      <c r="S489" s="541"/>
      <c r="T489" s="536"/>
      <c r="U489" s="542"/>
    </row>
    <row r="490" spans="1:21">
      <c r="A490" s="479"/>
      <c r="B490" s="4"/>
      <c r="C490" s="543"/>
      <c r="D490" s="544"/>
      <c r="E490" s="544"/>
      <c r="F490" s="544"/>
      <c r="G490" s="544"/>
      <c r="H490" s="545"/>
      <c r="I490" s="544"/>
      <c r="J490" s="546"/>
      <c r="K490" s="543"/>
      <c r="L490" s="547"/>
      <c r="M490" s="545"/>
      <c r="N490" s="548"/>
      <c r="O490" s="543"/>
      <c r="P490" s="543"/>
      <c r="Q490" s="547"/>
      <c r="R490" s="547"/>
      <c r="S490" s="549"/>
      <c r="T490" s="543"/>
      <c r="U490" s="550"/>
    </row>
    <row r="491" spans="1:21">
      <c r="A491" s="479"/>
      <c r="B491" s="480"/>
      <c r="C491" s="510"/>
      <c r="D491" s="512"/>
      <c r="E491" s="512"/>
      <c r="F491" s="512"/>
      <c r="G491" s="512"/>
      <c r="H491" s="529"/>
      <c r="I491" s="512"/>
      <c r="J491" s="514"/>
      <c r="K491" s="510"/>
      <c r="L491" s="511"/>
      <c r="M491" s="529"/>
      <c r="N491" s="530"/>
      <c r="O491" s="510"/>
      <c r="P491" s="510"/>
      <c r="Q491" s="511"/>
      <c r="R491" s="511"/>
      <c r="S491" s="517"/>
      <c r="T491" s="510"/>
      <c r="U491" s="528"/>
    </row>
    <row r="492" spans="1:21">
      <c r="A492" s="479"/>
      <c r="B492" s="4"/>
      <c r="C492" s="536"/>
      <c r="D492" s="537"/>
      <c r="E492" s="537"/>
      <c r="F492" s="537"/>
      <c r="G492" s="537"/>
      <c r="H492" s="538"/>
      <c r="I492" s="537"/>
      <c r="J492" s="539"/>
      <c r="K492" s="536"/>
      <c r="L492" s="537"/>
      <c r="M492" s="538"/>
      <c r="N492" s="540"/>
      <c r="O492" s="536"/>
      <c r="P492" s="536"/>
      <c r="Q492" s="537"/>
      <c r="R492" s="537"/>
      <c r="S492" s="541"/>
      <c r="T492" s="536"/>
      <c r="U492" s="542"/>
    </row>
    <row r="493" spans="1:21">
      <c r="A493" s="479"/>
      <c r="B493" s="4"/>
      <c r="C493" s="543"/>
      <c r="D493" s="544"/>
      <c r="E493" s="544"/>
      <c r="F493" s="544"/>
      <c r="G493" s="544"/>
      <c r="H493" s="545"/>
      <c r="I493" s="544"/>
      <c r="J493" s="546"/>
      <c r="K493" s="543"/>
      <c r="L493" s="547"/>
      <c r="M493" s="545"/>
      <c r="N493" s="548"/>
      <c r="O493" s="543"/>
      <c r="P493" s="543"/>
      <c r="Q493" s="547"/>
      <c r="R493" s="547"/>
      <c r="S493" s="549"/>
      <c r="T493" s="543"/>
      <c r="U493" s="550"/>
    </row>
    <row r="494" spans="1:21">
      <c r="A494" s="479"/>
      <c r="B494" s="480"/>
      <c r="C494" s="510"/>
      <c r="D494" s="512"/>
      <c r="E494" s="512"/>
      <c r="F494" s="512"/>
      <c r="G494" s="512"/>
      <c r="H494" s="529"/>
      <c r="I494" s="512"/>
      <c r="J494" s="514"/>
      <c r="K494" s="510"/>
      <c r="L494" s="511"/>
      <c r="M494" s="529"/>
      <c r="N494" s="530"/>
      <c r="O494" s="510"/>
      <c r="P494" s="510"/>
      <c r="Q494" s="511"/>
      <c r="R494" s="511"/>
      <c r="S494" s="517"/>
      <c r="T494" s="510"/>
      <c r="U494" s="528"/>
    </row>
    <row r="495" spans="1:21">
      <c r="A495" s="479"/>
      <c r="B495" s="4"/>
      <c r="C495" s="536"/>
      <c r="D495" s="537"/>
      <c r="E495" s="537"/>
      <c r="F495" s="537"/>
      <c r="G495" s="537"/>
      <c r="H495" s="538"/>
      <c r="I495" s="537"/>
      <c r="J495" s="539"/>
      <c r="K495" s="536"/>
      <c r="L495" s="537"/>
      <c r="M495" s="538"/>
      <c r="N495" s="540"/>
      <c r="O495" s="536"/>
      <c r="P495" s="536"/>
      <c r="Q495" s="537"/>
      <c r="R495" s="537"/>
      <c r="S495" s="541"/>
      <c r="T495" s="536"/>
      <c r="U495" s="542"/>
    </row>
    <row r="496" spans="1:21">
      <c r="A496" s="479"/>
      <c r="B496" s="4"/>
      <c r="C496" s="543"/>
      <c r="D496" s="544"/>
      <c r="E496" s="544"/>
      <c r="F496" s="544"/>
      <c r="G496" s="544"/>
      <c r="H496" s="545"/>
      <c r="I496" s="544"/>
      <c r="J496" s="546"/>
      <c r="K496" s="543"/>
      <c r="L496" s="547"/>
      <c r="M496" s="545"/>
      <c r="N496" s="548"/>
      <c r="O496" s="543"/>
      <c r="P496" s="543"/>
      <c r="Q496" s="547"/>
      <c r="R496" s="547"/>
      <c r="S496" s="549"/>
      <c r="T496" s="543"/>
      <c r="U496" s="550"/>
    </row>
    <row r="497" spans="1:21">
      <c r="A497" s="479"/>
      <c r="B497" s="480"/>
      <c r="C497" s="510"/>
      <c r="D497" s="512"/>
      <c r="E497" s="512"/>
      <c r="F497" s="512"/>
      <c r="G497" s="512"/>
      <c r="H497" s="529"/>
      <c r="I497" s="512"/>
      <c r="J497" s="514"/>
      <c r="K497" s="510"/>
      <c r="L497" s="511"/>
      <c r="M497" s="529"/>
      <c r="N497" s="530"/>
      <c r="O497" s="510"/>
      <c r="P497" s="510"/>
      <c r="Q497" s="511"/>
      <c r="R497" s="511"/>
      <c r="S497" s="517"/>
      <c r="T497" s="510"/>
      <c r="U497" s="528"/>
    </row>
    <row r="498" spans="1:21">
      <c r="A498" s="479"/>
      <c r="B498" s="4"/>
      <c r="C498" s="536"/>
      <c r="D498" s="537"/>
      <c r="E498" s="537"/>
      <c r="F498" s="537"/>
      <c r="G498" s="537"/>
      <c r="H498" s="538"/>
      <c r="I498" s="537"/>
      <c r="J498" s="539"/>
      <c r="K498" s="536"/>
      <c r="L498" s="537"/>
      <c r="M498" s="538"/>
      <c r="N498" s="540"/>
      <c r="O498" s="536"/>
      <c r="P498" s="536"/>
      <c r="Q498" s="537"/>
      <c r="R498" s="537"/>
      <c r="S498" s="541"/>
      <c r="T498" s="536"/>
      <c r="U498" s="542"/>
    </row>
    <row r="499" spans="1:21">
      <c r="A499" s="479"/>
      <c r="B499" s="4"/>
      <c r="C499" s="543"/>
      <c r="D499" s="544"/>
      <c r="E499" s="544"/>
      <c r="F499" s="544"/>
      <c r="G499" s="544"/>
      <c r="H499" s="545"/>
      <c r="I499" s="544"/>
      <c r="J499" s="546"/>
      <c r="K499" s="543"/>
      <c r="L499" s="547"/>
      <c r="M499" s="545"/>
      <c r="N499" s="548"/>
      <c r="O499" s="543"/>
      <c r="P499" s="543"/>
      <c r="Q499" s="547"/>
      <c r="R499" s="547"/>
      <c r="S499" s="549"/>
      <c r="T499" s="543"/>
      <c r="U499" s="550"/>
    </row>
    <row r="500" spans="1:21">
      <c r="A500" s="479"/>
      <c r="B500" s="480"/>
      <c r="C500" s="510"/>
      <c r="D500" s="512"/>
      <c r="E500" s="512"/>
      <c r="F500" s="512"/>
      <c r="G500" s="512"/>
      <c r="H500" s="529"/>
      <c r="I500" s="512"/>
      <c r="J500" s="514"/>
      <c r="K500" s="510"/>
      <c r="L500" s="511"/>
      <c r="M500" s="529"/>
      <c r="N500" s="530"/>
      <c r="O500" s="510"/>
      <c r="P500" s="510"/>
      <c r="Q500" s="511"/>
      <c r="R500" s="511"/>
      <c r="S500" s="517"/>
      <c r="T500" s="510"/>
      <c r="U500" s="528"/>
    </row>
    <row r="501" spans="1:21">
      <c r="A501" s="479"/>
      <c r="B501" s="4"/>
      <c r="C501" s="536"/>
      <c r="D501" s="537"/>
      <c r="E501" s="537"/>
      <c r="F501" s="537"/>
      <c r="G501" s="537"/>
      <c r="H501" s="538"/>
      <c r="I501" s="537"/>
      <c r="J501" s="539"/>
      <c r="K501" s="536"/>
      <c r="L501" s="537"/>
      <c r="M501" s="538"/>
      <c r="N501" s="540"/>
      <c r="O501" s="536"/>
      <c r="P501" s="536"/>
      <c r="Q501" s="537"/>
      <c r="R501" s="537"/>
      <c r="S501" s="541"/>
      <c r="T501" s="536"/>
      <c r="U501" s="542"/>
    </row>
    <row r="502" spans="1:21">
      <c r="A502" s="479"/>
      <c r="B502" s="4"/>
      <c r="C502" s="543"/>
      <c r="D502" s="544"/>
      <c r="E502" s="544"/>
      <c r="F502" s="544"/>
      <c r="G502" s="544"/>
      <c r="H502" s="545"/>
      <c r="I502" s="544"/>
      <c r="J502" s="546"/>
      <c r="K502" s="543"/>
      <c r="L502" s="547"/>
      <c r="M502" s="545"/>
      <c r="N502" s="548"/>
      <c r="O502" s="543"/>
      <c r="P502" s="543"/>
      <c r="Q502" s="547"/>
      <c r="R502" s="547"/>
      <c r="S502" s="549"/>
      <c r="T502" s="543"/>
      <c r="U502" s="550"/>
    </row>
    <row r="503" spans="1:21">
      <c r="A503" s="479"/>
      <c r="B503" s="480"/>
      <c r="C503" s="510"/>
      <c r="D503" s="512"/>
      <c r="E503" s="512"/>
      <c r="F503" s="512"/>
      <c r="G503" s="512"/>
      <c r="H503" s="529"/>
      <c r="I503" s="512"/>
      <c r="J503" s="514"/>
      <c r="K503" s="510"/>
      <c r="L503" s="511"/>
      <c r="M503" s="529"/>
      <c r="N503" s="530"/>
      <c r="O503" s="510"/>
      <c r="P503" s="510"/>
      <c r="Q503" s="511"/>
      <c r="R503" s="511"/>
      <c r="S503" s="517"/>
      <c r="T503" s="510"/>
      <c r="U503" s="528"/>
    </row>
    <row r="504" spans="1:21">
      <c r="A504" s="479"/>
      <c r="B504" s="4"/>
      <c r="C504" s="536"/>
      <c r="D504" s="537"/>
      <c r="E504" s="537"/>
      <c r="F504" s="537"/>
      <c r="G504" s="537"/>
      <c r="H504" s="538"/>
      <c r="I504" s="537"/>
      <c r="J504" s="539"/>
      <c r="K504" s="536"/>
      <c r="L504" s="537"/>
      <c r="M504" s="538"/>
      <c r="N504" s="540"/>
      <c r="O504" s="536"/>
      <c r="P504" s="536"/>
      <c r="Q504" s="537"/>
      <c r="R504" s="537"/>
      <c r="S504" s="541"/>
      <c r="T504" s="536"/>
      <c r="U504" s="542"/>
    </row>
    <row r="505" spans="1:21">
      <c r="A505" s="479"/>
      <c r="B505" s="4"/>
      <c r="C505" s="543"/>
      <c r="D505" s="544"/>
      <c r="E505" s="544"/>
      <c r="F505" s="544"/>
      <c r="G505" s="544"/>
      <c r="H505" s="545"/>
      <c r="I505" s="544"/>
      <c r="J505" s="546"/>
      <c r="K505" s="543"/>
      <c r="L505" s="547"/>
      <c r="M505" s="545"/>
      <c r="N505" s="548"/>
      <c r="O505" s="543"/>
      <c r="P505" s="543"/>
      <c r="Q505" s="547"/>
      <c r="R505" s="547"/>
      <c r="S505" s="549"/>
      <c r="T505" s="543"/>
      <c r="U505" s="550"/>
    </row>
    <row r="506" spans="1:21">
      <c r="A506" s="479"/>
      <c r="B506" s="480"/>
      <c r="C506" s="551"/>
      <c r="D506" s="552"/>
      <c r="E506" s="552"/>
      <c r="F506" s="552"/>
      <c r="G506" s="552"/>
      <c r="H506" s="529"/>
      <c r="I506" s="552"/>
      <c r="J506" s="531"/>
      <c r="K506" s="551"/>
      <c r="L506" s="552"/>
      <c r="M506" s="529"/>
      <c r="N506" s="530"/>
      <c r="O506" s="551"/>
      <c r="P506" s="551"/>
      <c r="Q506" s="552"/>
      <c r="R506" s="552"/>
      <c r="S506" s="553"/>
      <c r="T506" s="551"/>
      <c r="U506" s="554"/>
    </row>
    <row r="507" spans="1:21">
      <c r="A507" s="479"/>
      <c r="B507" s="4"/>
      <c r="C507" s="506"/>
      <c r="D507" s="508"/>
      <c r="E507" s="508"/>
      <c r="F507" s="508"/>
      <c r="G507" s="508"/>
      <c r="H507" s="508"/>
      <c r="I507" s="508"/>
      <c r="J507" s="509"/>
      <c r="K507" s="506"/>
      <c r="L507" s="507"/>
      <c r="M507" s="507"/>
      <c r="N507" s="507"/>
      <c r="O507" s="506"/>
      <c r="P507" s="506"/>
      <c r="Q507" s="507"/>
      <c r="R507" s="507"/>
      <c r="S507" s="515"/>
      <c r="T507" s="506"/>
      <c r="U507" s="527"/>
    </row>
    <row r="508" spans="1:21">
      <c r="A508" s="479"/>
      <c r="B508" s="4"/>
      <c r="C508" s="506"/>
      <c r="D508" s="508"/>
      <c r="E508" s="508"/>
      <c r="F508" s="508"/>
      <c r="G508" s="508"/>
      <c r="H508" s="508"/>
      <c r="I508" s="508"/>
      <c r="J508" s="509"/>
      <c r="K508" s="506"/>
      <c r="L508" s="507"/>
      <c r="M508" s="507"/>
      <c r="N508" s="507"/>
      <c r="O508" s="506"/>
      <c r="P508" s="506"/>
      <c r="Q508" s="507"/>
      <c r="R508" s="507"/>
      <c r="S508" s="515"/>
      <c r="T508" s="506"/>
      <c r="U508" s="527"/>
    </row>
    <row r="509" spans="1:21">
      <c r="A509" s="502"/>
      <c r="B509" s="481"/>
      <c r="C509" s="510"/>
      <c r="D509" s="512"/>
      <c r="E509" s="512"/>
      <c r="F509" s="512"/>
      <c r="G509" s="512"/>
      <c r="H509" s="529"/>
      <c r="I509" s="512"/>
      <c r="J509" s="514"/>
      <c r="K509" s="510"/>
      <c r="L509" s="511"/>
      <c r="M509" s="529"/>
      <c r="N509" s="530"/>
      <c r="O509" s="510"/>
      <c r="P509" s="510"/>
      <c r="Q509" s="511"/>
      <c r="R509" s="511"/>
      <c r="S509" s="517"/>
      <c r="T509" s="510"/>
      <c r="U509" s="528"/>
    </row>
    <row r="510" spans="1:21">
      <c r="A510" s="478"/>
      <c r="B510" s="3"/>
      <c r="C510" s="536"/>
      <c r="D510" s="537"/>
      <c r="E510" s="537"/>
      <c r="F510" s="537"/>
      <c r="G510" s="537"/>
      <c r="H510" s="538"/>
      <c r="I510" s="537"/>
      <c r="J510" s="539"/>
      <c r="K510" s="536"/>
      <c r="L510" s="537"/>
      <c r="M510" s="538"/>
      <c r="N510" s="540"/>
      <c r="O510" s="536"/>
      <c r="P510" s="536"/>
      <c r="Q510" s="537"/>
      <c r="R510" s="537"/>
      <c r="S510" s="541"/>
      <c r="T510" s="536"/>
      <c r="U510" s="542"/>
    </row>
    <row r="511" spans="1:21">
      <c r="A511" s="479"/>
      <c r="B511" s="4"/>
      <c r="C511" s="543"/>
      <c r="D511" s="544"/>
      <c r="E511" s="544"/>
      <c r="F511" s="544"/>
      <c r="G511" s="544"/>
      <c r="H511" s="545"/>
      <c r="I511" s="544"/>
      <c r="J511" s="546"/>
      <c r="K511" s="543"/>
      <c r="L511" s="547"/>
      <c r="M511" s="545"/>
      <c r="N511" s="548"/>
      <c r="O511" s="543"/>
      <c r="P511" s="543"/>
      <c r="Q511" s="547"/>
      <c r="R511" s="547"/>
      <c r="S511" s="549"/>
      <c r="T511" s="543"/>
      <c r="U511" s="550"/>
    </row>
    <row r="512" spans="1:21">
      <c r="A512" s="479"/>
      <c r="B512" s="505"/>
      <c r="C512" s="510"/>
      <c r="D512" s="512"/>
      <c r="E512" s="512"/>
      <c r="F512" s="512"/>
      <c r="G512" s="512"/>
      <c r="H512" s="529"/>
      <c r="I512" s="512"/>
      <c r="J512" s="514"/>
      <c r="K512" s="510"/>
      <c r="L512" s="511"/>
      <c r="M512" s="529"/>
      <c r="N512" s="530"/>
      <c r="O512" s="510"/>
      <c r="P512" s="510"/>
      <c r="Q512" s="511"/>
      <c r="R512" s="511"/>
      <c r="S512" s="517"/>
      <c r="T512" s="510"/>
      <c r="U512" s="528"/>
    </row>
    <row r="513" spans="1:21">
      <c r="A513" s="479"/>
      <c r="B513" s="4"/>
      <c r="C513" s="536"/>
      <c r="D513" s="537"/>
      <c r="E513" s="537"/>
      <c r="F513" s="537"/>
      <c r="G513" s="537"/>
      <c r="H513" s="538"/>
      <c r="I513" s="537"/>
      <c r="J513" s="539"/>
      <c r="K513" s="536"/>
      <c r="L513" s="537"/>
      <c r="M513" s="538"/>
      <c r="N513" s="540"/>
      <c r="O513" s="536"/>
      <c r="P513" s="536"/>
      <c r="Q513" s="537"/>
      <c r="R513" s="537"/>
      <c r="S513" s="541"/>
      <c r="T513" s="536"/>
      <c r="U513" s="542"/>
    </row>
    <row r="514" spans="1:21">
      <c r="A514" s="414"/>
      <c r="B514" s="4"/>
      <c r="C514" s="543"/>
      <c r="D514" s="544"/>
      <c r="E514" s="544"/>
      <c r="F514" s="544"/>
      <c r="G514" s="544"/>
      <c r="H514" s="545"/>
      <c r="I514" s="544"/>
      <c r="J514" s="546"/>
      <c r="K514" s="543"/>
      <c r="L514" s="547"/>
      <c r="M514" s="545"/>
      <c r="N514" s="548"/>
      <c r="O514" s="543"/>
      <c r="P514" s="543"/>
      <c r="Q514" s="547"/>
      <c r="R514" s="547"/>
      <c r="S514" s="549"/>
      <c r="T514" s="543"/>
      <c r="U514" s="550"/>
    </row>
    <row r="515" spans="1:21">
      <c r="A515" s="414"/>
      <c r="B515" s="480"/>
      <c r="C515" s="510"/>
      <c r="D515" s="512"/>
      <c r="E515" s="512"/>
      <c r="F515" s="512"/>
      <c r="G515" s="512"/>
      <c r="H515" s="529"/>
      <c r="I515" s="512"/>
      <c r="J515" s="514"/>
      <c r="K515" s="510"/>
      <c r="L515" s="511"/>
      <c r="M515" s="529"/>
      <c r="N515" s="530"/>
      <c r="O515" s="510"/>
      <c r="P515" s="510"/>
      <c r="Q515" s="511"/>
      <c r="R515" s="511"/>
      <c r="S515" s="517"/>
      <c r="T515" s="510"/>
      <c r="U515" s="528"/>
    </row>
    <row r="516" spans="1:21">
      <c r="A516" s="414"/>
      <c r="B516" s="4"/>
      <c r="C516" s="536"/>
      <c r="D516" s="537"/>
      <c r="E516" s="537"/>
      <c r="F516" s="537"/>
      <c r="G516" s="537"/>
      <c r="H516" s="538"/>
      <c r="I516" s="537"/>
      <c r="J516" s="539"/>
      <c r="K516" s="536"/>
      <c r="L516" s="537"/>
      <c r="M516" s="538"/>
      <c r="N516" s="540"/>
      <c r="O516" s="536"/>
      <c r="P516" s="536"/>
      <c r="Q516" s="537"/>
      <c r="R516" s="537"/>
      <c r="S516" s="541"/>
      <c r="T516" s="536"/>
      <c r="U516" s="542"/>
    </row>
    <row r="517" spans="1:21">
      <c r="A517" s="414"/>
      <c r="B517" s="4"/>
      <c r="C517" s="543"/>
      <c r="D517" s="544"/>
      <c r="E517" s="544"/>
      <c r="F517" s="544"/>
      <c r="G517" s="544"/>
      <c r="H517" s="545"/>
      <c r="I517" s="544"/>
      <c r="J517" s="546"/>
      <c r="K517" s="543"/>
      <c r="L517" s="547"/>
      <c r="M517" s="545"/>
      <c r="N517" s="548"/>
      <c r="O517" s="543"/>
      <c r="P517" s="543"/>
      <c r="Q517" s="547"/>
      <c r="R517" s="547"/>
      <c r="S517" s="549"/>
      <c r="T517" s="543"/>
      <c r="U517" s="550"/>
    </row>
    <row r="518" spans="1:21">
      <c r="A518" s="414"/>
      <c r="B518" s="480"/>
      <c r="C518" s="510"/>
      <c r="D518" s="512"/>
      <c r="E518" s="512"/>
      <c r="F518" s="512"/>
      <c r="G518" s="512"/>
      <c r="H518" s="529"/>
      <c r="I518" s="512"/>
      <c r="J518" s="514"/>
      <c r="K518" s="510"/>
      <c r="L518" s="511"/>
      <c r="M518" s="529"/>
      <c r="N518" s="530"/>
      <c r="O518" s="510"/>
      <c r="P518" s="510"/>
      <c r="Q518" s="511"/>
      <c r="R518" s="511"/>
      <c r="S518" s="517"/>
      <c r="T518" s="510"/>
      <c r="U518" s="528"/>
    </row>
    <row r="519" spans="1:21">
      <c r="A519" s="414"/>
      <c r="B519" s="4"/>
      <c r="C519" s="536"/>
      <c r="D519" s="537"/>
      <c r="E519" s="537"/>
      <c r="F519" s="537"/>
      <c r="G519" s="537"/>
      <c r="H519" s="538"/>
      <c r="I519" s="537"/>
      <c r="J519" s="539"/>
      <c r="K519" s="536"/>
      <c r="L519" s="537"/>
      <c r="M519" s="538"/>
      <c r="N519" s="540"/>
      <c r="O519" s="536"/>
      <c r="P519" s="536"/>
      <c r="Q519" s="537"/>
      <c r="R519" s="537"/>
      <c r="S519" s="541"/>
      <c r="T519" s="536"/>
      <c r="U519" s="542"/>
    </row>
    <row r="520" spans="1:21">
      <c r="A520" s="414"/>
      <c r="B520" s="4"/>
      <c r="C520" s="543"/>
      <c r="D520" s="544"/>
      <c r="E520" s="544"/>
      <c r="F520" s="544"/>
      <c r="G520" s="544"/>
      <c r="H520" s="545"/>
      <c r="I520" s="544"/>
      <c r="J520" s="546"/>
      <c r="K520" s="543"/>
      <c r="L520" s="547"/>
      <c r="M520" s="545"/>
      <c r="N520" s="548"/>
      <c r="O520" s="543"/>
      <c r="P520" s="543"/>
      <c r="Q520" s="547"/>
      <c r="R520" s="547"/>
      <c r="S520" s="549"/>
      <c r="T520" s="543"/>
      <c r="U520" s="550"/>
    </row>
    <row r="521" spans="1:21">
      <c r="A521" s="414"/>
      <c r="B521" s="480"/>
      <c r="C521" s="510"/>
      <c r="D521" s="512"/>
      <c r="E521" s="512"/>
      <c r="F521" s="512"/>
      <c r="G521" s="512"/>
      <c r="H521" s="529"/>
      <c r="I521" s="512"/>
      <c r="J521" s="514"/>
      <c r="K521" s="510"/>
      <c r="L521" s="511"/>
      <c r="M521" s="529"/>
      <c r="N521" s="530"/>
      <c r="O521" s="510"/>
      <c r="P521" s="510"/>
      <c r="Q521" s="511"/>
      <c r="R521" s="511"/>
      <c r="S521" s="517"/>
      <c r="T521" s="510"/>
      <c r="U521" s="528"/>
    </row>
    <row r="522" spans="1:21">
      <c r="A522" s="479"/>
      <c r="B522" s="4"/>
      <c r="C522" s="536"/>
      <c r="D522" s="537"/>
      <c r="E522" s="537"/>
      <c r="F522" s="537"/>
      <c r="G522" s="537"/>
      <c r="H522" s="538"/>
      <c r="I522" s="537"/>
      <c r="J522" s="539"/>
      <c r="K522" s="536"/>
      <c r="L522" s="537"/>
      <c r="M522" s="538"/>
      <c r="N522" s="540"/>
      <c r="O522" s="536"/>
      <c r="P522" s="536"/>
      <c r="Q522" s="537"/>
      <c r="R522" s="537"/>
      <c r="S522" s="541"/>
      <c r="T522" s="536"/>
      <c r="U522" s="542"/>
    </row>
    <row r="523" spans="1:21">
      <c r="A523" s="479"/>
      <c r="B523" s="4"/>
      <c r="C523" s="543"/>
      <c r="D523" s="544"/>
      <c r="E523" s="544"/>
      <c r="F523" s="544"/>
      <c r="G523" s="544"/>
      <c r="H523" s="545"/>
      <c r="I523" s="544"/>
      <c r="J523" s="546"/>
      <c r="K523" s="543"/>
      <c r="L523" s="547"/>
      <c r="M523" s="545"/>
      <c r="N523" s="548"/>
      <c r="O523" s="543"/>
      <c r="P523" s="543"/>
      <c r="Q523" s="547"/>
      <c r="R523" s="547"/>
      <c r="S523" s="549"/>
      <c r="T523" s="543"/>
      <c r="U523" s="550"/>
    </row>
    <row r="524" spans="1:21">
      <c r="A524" s="479"/>
      <c r="B524" s="480"/>
      <c r="C524" s="510"/>
      <c r="D524" s="512"/>
      <c r="E524" s="512"/>
      <c r="F524" s="512"/>
      <c r="G524" s="512"/>
      <c r="H524" s="529"/>
      <c r="I524" s="512"/>
      <c r="J524" s="514"/>
      <c r="K524" s="510"/>
      <c r="L524" s="511"/>
      <c r="M524" s="529"/>
      <c r="N524" s="530"/>
      <c r="O524" s="510"/>
      <c r="P524" s="510"/>
      <c r="Q524" s="511"/>
      <c r="R524" s="511"/>
      <c r="S524" s="517"/>
      <c r="T524" s="510"/>
      <c r="U524" s="528"/>
    </row>
    <row r="525" spans="1:21">
      <c r="A525" s="479"/>
      <c r="B525" s="4"/>
      <c r="C525" s="536"/>
      <c r="D525" s="537"/>
      <c r="E525" s="537"/>
      <c r="F525" s="537"/>
      <c r="G525" s="537"/>
      <c r="H525" s="538"/>
      <c r="I525" s="537"/>
      <c r="J525" s="539"/>
      <c r="K525" s="536"/>
      <c r="L525" s="537"/>
      <c r="M525" s="538"/>
      <c r="N525" s="540"/>
      <c r="O525" s="536"/>
      <c r="P525" s="536"/>
      <c r="Q525" s="537"/>
      <c r="R525" s="537"/>
      <c r="S525" s="541"/>
      <c r="T525" s="536"/>
      <c r="U525" s="542"/>
    </row>
    <row r="526" spans="1:21">
      <c r="A526" s="479"/>
      <c r="B526" s="4"/>
      <c r="C526" s="543"/>
      <c r="D526" s="544"/>
      <c r="E526" s="544"/>
      <c r="F526" s="544"/>
      <c r="G526" s="544"/>
      <c r="H526" s="545"/>
      <c r="I526" s="544"/>
      <c r="J526" s="546"/>
      <c r="K526" s="543"/>
      <c r="L526" s="547"/>
      <c r="M526" s="545"/>
      <c r="N526" s="548"/>
      <c r="O526" s="543"/>
      <c r="P526" s="543"/>
      <c r="Q526" s="547"/>
      <c r="R526" s="547"/>
      <c r="S526" s="549"/>
      <c r="T526" s="543"/>
      <c r="U526" s="550"/>
    </row>
    <row r="527" spans="1:21">
      <c r="A527" s="479"/>
      <c r="B527" s="480"/>
      <c r="C527" s="510"/>
      <c r="D527" s="512"/>
      <c r="E527" s="512"/>
      <c r="F527" s="512"/>
      <c r="G527" s="512"/>
      <c r="H527" s="529"/>
      <c r="I527" s="512"/>
      <c r="J527" s="514"/>
      <c r="K527" s="510"/>
      <c r="L527" s="511"/>
      <c r="M527" s="529"/>
      <c r="N527" s="530"/>
      <c r="O527" s="510"/>
      <c r="P527" s="510"/>
      <c r="Q527" s="511"/>
      <c r="R527" s="511"/>
      <c r="S527" s="517"/>
      <c r="T527" s="510"/>
      <c r="U527" s="528"/>
    </row>
    <row r="528" spans="1:21">
      <c r="A528" s="479"/>
      <c r="B528" s="4"/>
      <c r="C528" s="536"/>
      <c r="D528" s="537"/>
      <c r="E528" s="537"/>
      <c r="F528" s="537"/>
      <c r="G528" s="537"/>
      <c r="H528" s="538"/>
      <c r="I528" s="537"/>
      <c r="J528" s="539"/>
      <c r="K528" s="536"/>
      <c r="L528" s="537"/>
      <c r="M528" s="538"/>
      <c r="N528" s="540"/>
      <c r="O528" s="536"/>
      <c r="P528" s="536"/>
      <c r="Q528" s="537"/>
      <c r="R528" s="537"/>
      <c r="S528" s="541"/>
      <c r="T528" s="536"/>
      <c r="U528" s="542"/>
    </row>
    <row r="529" spans="1:21">
      <c r="A529" s="479"/>
      <c r="B529" s="4"/>
      <c r="C529" s="543"/>
      <c r="D529" s="544"/>
      <c r="E529" s="544"/>
      <c r="F529" s="544"/>
      <c r="G529" s="544"/>
      <c r="H529" s="545"/>
      <c r="I529" s="544"/>
      <c r="J529" s="546"/>
      <c r="K529" s="543"/>
      <c r="L529" s="547"/>
      <c r="M529" s="545"/>
      <c r="N529" s="548"/>
      <c r="O529" s="543"/>
      <c r="P529" s="543"/>
      <c r="Q529" s="547"/>
      <c r="R529" s="547"/>
      <c r="S529" s="549"/>
      <c r="T529" s="543"/>
      <c r="U529" s="550"/>
    </row>
    <row r="530" spans="1:21">
      <c r="A530" s="479"/>
      <c r="B530" s="480"/>
      <c r="C530" s="510"/>
      <c r="D530" s="512"/>
      <c r="E530" s="512"/>
      <c r="F530" s="512"/>
      <c r="G530" s="512"/>
      <c r="H530" s="529"/>
      <c r="I530" s="512"/>
      <c r="J530" s="514"/>
      <c r="K530" s="510"/>
      <c r="L530" s="511"/>
      <c r="M530" s="529"/>
      <c r="N530" s="530"/>
      <c r="O530" s="510"/>
      <c r="P530" s="510"/>
      <c r="Q530" s="511"/>
      <c r="R530" s="511"/>
      <c r="S530" s="517"/>
      <c r="T530" s="510"/>
      <c r="U530" s="528"/>
    </row>
    <row r="531" spans="1:21">
      <c r="A531" s="479"/>
      <c r="B531" s="4"/>
      <c r="C531" s="536"/>
      <c r="D531" s="537"/>
      <c r="E531" s="537"/>
      <c r="F531" s="537"/>
      <c r="G531" s="537"/>
      <c r="H531" s="538"/>
      <c r="I531" s="537"/>
      <c r="J531" s="539"/>
      <c r="K531" s="536"/>
      <c r="L531" s="537"/>
      <c r="M531" s="538"/>
      <c r="N531" s="540"/>
      <c r="O531" s="536"/>
      <c r="P531" s="536"/>
      <c r="Q531" s="537"/>
      <c r="R531" s="537"/>
      <c r="S531" s="541"/>
      <c r="T531" s="536"/>
      <c r="U531" s="542"/>
    </row>
    <row r="532" spans="1:21">
      <c r="A532" s="479"/>
      <c r="B532" s="4"/>
      <c r="C532" s="543"/>
      <c r="D532" s="544"/>
      <c r="E532" s="544"/>
      <c r="F532" s="544"/>
      <c r="G532" s="544"/>
      <c r="H532" s="545"/>
      <c r="I532" s="544"/>
      <c r="J532" s="546"/>
      <c r="K532" s="543"/>
      <c r="L532" s="547"/>
      <c r="M532" s="545"/>
      <c r="N532" s="548"/>
      <c r="O532" s="543"/>
      <c r="P532" s="543"/>
      <c r="Q532" s="547"/>
      <c r="R532" s="547"/>
      <c r="S532" s="549"/>
      <c r="T532" s="543"/>
      <c r="U532" s="550"/>
    </row>
    <row r="533" spans="1:21">
      <c r="A533" s="479"/>
      <c r="B533" s="480"/>
      <c r="C533" s="510"/>
      <c r="D533" s="512"/>
      <c r="E533" s="512"/>
      <c r="F533" s="512"/>
      <c r="G533" s="512"/>
      <c r="H533" s="529"/>
      <c r="I533" s="512"/>
      <c r="J533" s="514"/>
      <c r="K533" s="510"/>
      <c r="L533" s="511"/>
      <c r="M533" s="529"/>
      <c r="N533" s="530"/>
      <c r="O533" s="510"/>
      <c r="P533" s="510"/>
      <c r="Q533" s="511"/>
      <c r="R533" s="511"/>
      <c r="S533" s="517"/>
      <c r="T533" s="510"/>
      <c r="U533" s="528"/>
    </row>
    <row r="534" spans="1:21">
      <c r="A534" s="479"/>
      <c r="B534" s="4"/>
      <c r="C534" s="536"/>
      <c r="D534" s="537"/>
      <c r="E534" s="537"/>
      <c r="F534" s="537"/>
      <c r="G534" s="537"/>
      <c r="H534" s="538"/>
      <c r="I534" s="537"/>
      <c r="J534" s="539"/>
      <c r="K534" s="536"/>
      <c r="L534" s="537"/>
      <c r="M534" s="538"/>
      <c r="N534" s="540"/>
      <c r="O534" s="536"/>
      <c r="P534" s="536"/>
      <c r="Q534" s="537"/>
      <c r="R534" s="537"/>
      <c r="S534" s="541"/>
      <c r="T534" s="536"/>
      <c r="U534" s="542"/>
    </row>
    <row r="535" spans="1:21">
      <c r="A535" s="479"/>
      <c r="B535" s="4"/>
      <c r="C535" s="543"/>
      <c r="D535" s="544"/>
      <c r="E535" s="544"/>
      <c r="F535" s="544"/>
      <c r="G535" s="544"/>
      <c r="H535" s="545"/>
      <c r="I535" s="544"/>
      <c r="J535" s="546"/>
      <c r="K535" s="543"/>
      <c r="L535" s="547"/>
      <c r="M535" s="545"/>
      <c r="N535" s="548"/>
      <c r="O535" s="543"/>
      <c r="P535" s="543"/>
      <c r="Q535" s="547"/>
      <c r="R535" s="547"/>
      <c r="S535" s="549"/>
      <c r="T535" s="543"/>
      <c r="U535" s="550"/>
    </row>
    <row r="536" spans="1:21">
      <c r="A536" s="479"/>
      <c r="B536" s="480"/>
      <c r="C536" s="510"/>
      <c r="D536" s="512"/>
      <c r="E536" s="512"/>
      <c r="F536" s="512"/>
      <c r="G536" s="512"/>
      <c r="H536" s="529"/>
      <c r="I536" s="512"/>
      <c r="J536" s="514"/>
      <c r="K536" s="510"/>
      <c r="L536" s="511"/>
      <c r="M536" s="529"/>
      <c r="N536" s="530"/>
      <c r="O536" s="510"/>
      <c r="P536" s="510"/>
      <c r="Q536" s="511"/>
      <c r="R536" s="511"/>
      <c r="S536" s="517"/>
      <c r="T536" s="510"/>
      <c r="U536" s="528"/>
    </row>
    <row r="537" spans="1:21">
      <c r="A537" s="479"/>
      <c r="B537" s="4"/>
      <c r="C537" s="536"/>
      <c r="D537" s="537"/>
      <c r="E537" s="537"/>
      <c r="F537" s="537"/>
      <c r="G537" s="537"/>
      <c r="H537" s="538"/>
      <c r="I537" s="537"/>
      <c r="J537" s="539"/>
      <c r="K537" s="536"/>
      <c r="L537" s="537"/>
      <c r="M537" s="538"/>
      <c r="N537" s="540"/>
      <c r="O537" s="536"/>
      <c r="P537" s="536"/>
      <c r="Q537" s="537"/>
      <c r="R537" s="537"/>
      <c r="S537" s="541"/>
      <c r="T537" s="536"/>
      <c r="U537" s="542"/>
    </row>
    <row r="538" spans="1:21">
      <c r="A538" s="479"/>
      <c r="B538" s="4"/>
      <c r="C538" s="543"/>
      <c r="D538" s="544"/>
      <c r="E538" s="544"/>
      <c r="F538" s="544"/>
      <c r="G538" s="544"/>
      <c r="H538" s="545"/>
      <c r="I538" s="544"/>
      <c r="J538" s="546"/>
      <c r="K538" s="543"/>
      <c r="L538" s="547"/>
      <c r="M538" s="545"/>
      <c r="N538" s="548"/>
      <c r="O538" s="543"/>
      <c r="P538" s="543"/>
      <c r="Q538" s="547"/>
      <c r="R538" s="547"/>
      <c r="S538" s="549"/>
      <c r="T538" s="543"/>
      <c r="U538" s="550"/>
    </row>
    <row r="539" spans="1:21">
      <c r="A539" s="479"/>
      <c r="B539" s="480"/>
      <c r="C539" s="510"/>
      <c r="D539" s="512"/>
      <c r="E539" s="512"/>
      <c r="F539" s="512"/>
      <c r="G539" s="512"/>
      <c r="H539" s="529"/>
      <c r="I539" s="512"/>
      <c r="J539" s="514"/>
      <c r="K539" s="510"/>
      <c r="L539" s="511"/>
      <c r="M539" s="529"/>
      <c r="N539" s="530"/>
      <c r="O539" s="510"/>
      <c r="P539" s="510"/>
      <c r="Q539" s="511"/>
      <c r="R539" s="511"/>
      <c r="S539" s="517"/>
      <c r="T539" s="510"/>
      <c r="U539" s="528"/>
    </row>
    <row r="540" spans="1:21">
      <c r="A540" s="479"/>
      <c r="B540" s="4"/>
      <c r="C540" s="536"/>
      <c r="D540" s="537"/>
      <c r="E540" s="537"/>
      <c r="F540" s="537"/>
      <c r="G540" s="537"/>
      <c r="H540" s="538"/>
      <c r="I540" s="537"/>
      <c r="J540" s="539"/>
      <c r="K540" s="536"/>
      <c r="L540" s="537"/>
      <c r="M540" s="538"/>
      <c r="N540" s="540"/>
      <c r="O540" s="536"/>
      <c r="P540" s="536"/>
      <c r="Q540" s="537"/>
      <c r="R540" s="537"/>
      <c r="S540" s="541"/>
      <c r="T540" s="536"/>
      <c r="U540" s="542"/>
    </row>
    <row r="541" spans="1:21">
      <c r="A541" s="479"/>
      <c r="B541" s="4"/>
      <c r="C541" s="543"/>
      <c r="D541" s="544"/>
      <c r="E541" s="544"/>
      <c r="F541" s="544"/>
      <c r="G541" s="544"/>
      <c r="H541" s="545"/>
      <c r="I541" s="544"/>
      <c r="J541" s="546"/>
      <c r="K541" s="543"/>
      <c r="L541" s="547"/>
      <c r="M541" s="545"/>
      <c r="N541" s="548"/>
      <c r="O541" s="543"/>
      <c r="P541" s="543"/>
      <c r="Q541" s="547"/>
      <c r="R541" s="547"/>
      <c r="S541" s="549"/>
      <c r="T541" s="543"/>
      <c r="U541" s="550"/>
    </row>
    <row r="542" spans="1:21">
      <c r="A542" s="479"/>
      <c r="B542" s="480"/>
      <c r="C542" s="551"/>
      <c r="D542" s="552"/>
      <c r="E542" s="552"/>
      <c r="F542" s="552"/>
      <c r="G542" s="552"/>
      <c r="H542" s="529"/>
      <c r="I542" s="552"/>
      <c r="J542" s="531"/>
      <c r="K542" s="551"/>
      <c r="L542" s="552"/>
      <c r="M542" s="529"/>
      <c r="N542" s="530"/>
      <c r="O542" s="551"/>
      <c r="P542" s="551"/>
      <c r="Q542" s="552"/>
      <c r="R542" s="552"/>
      <c r="S542" s="553"/>
      <c r="T542" s="551"/>
      <c r="U542" s="554"/>
    </row>
    <row r="543" spans="1:21">
      <c r="A543" s="479"/>
      <c r="B543" s="4"/>
      <c r="C543" s="506"/>
      <c r="D543" s="508"/>
      <c r="E543" s="508"/>
      <c r="F543" s="508"/>
      <c r="G543" s="508"/>
      <c r="H543" s="508"/>
      <c r="I543" s="508"/>
      <c r="J543" s="509"/>
      <c r="K543" s="506"/>
      <c r="L543" s="507"/>
      <c r="M543" s="507"/>
      <c r="N543" s="507"/>
      <c r="O543" s="506"/>
      <c r="P543" s="506"/>
      <c r="Q543" s="507"/>
      <c r="R543" s="507"/>
      <c r="S543" s="515"/>
      <c r="T543" s="506"/>
      <c r="U543" s="527"/>
    </row>
    <row r="544" spans="1:21">
      <c r="A544" s="479"/>
      <c r="B544" s="4"/>
      <c r="C544" s="506"/>
      <c r="D544" s="508"/>
      <c r="E544" s="508"/>
      <c r="F544" s="508"/>
      <c r="G544" s="508"/>
      <c r="H544" s="508"/>
      <c r="I544" s="508"/>
      <c r="J544" s="509"/>
      <c r="K544" s="506"/>
      <c r="L544" s="507"/>
      <c r="M544" s="507"/>
      <c r="N544" s="507"/>
      <c r="O544" s="506"/>
      <c r="P544" s="506"/>
      <c r="Q544" s="507"/>
      <c r="R544" s="507"/>
      <c r="S544" s="515"/>
      <c r="T544" s="506"/>
      <c r="U544" s="527"/>
    </row>
    <row r="545" spans="1:21">
      <c r="A545" s="502"/>
      <c r="B545" s="481"/>
      <c r="C545" s="510"/>
      <c r="D545" s="512"/>
      <c r="E545" s="512"/>
      <c r="F545" s="512"/>
      <c r="G545" s="512"/>
      <c r="H545" s="529"/>
      <c r="I545" s="512"/>
      <c r="J545" s="514"/>
      <c r="K545" s="510"/>
      <c r="L545" s="511"/>
      <c r="M545" s="529"/>
      <c r="N545" s="530"/>
      <c r="O545" s="510"/>
      <c r="P545" s="510"/>
      <c r="Q545" s="511"/>
      <c r="R545" s="511"/>
      <c r="S545" s="517"/>
      <c r="T545" s="510"/>
      <c r="U545" s="528"/>
    </row>
    <row r="546" spans="1:21">
      <c r="A546" s="478"/>
      <c r="B546" s="3"/>
      <c r="C546" s="536"/>
      <c r="D546" s="537"/>
      <c r="E546" s="537"/>
      <c r="F546" s="537"/>
      <c r="G546" s="537"/>
      <c r="H546" s="538"/>
      <c r="I546" s="537"/>
      <c r="J546" s="539"/>
      <c r="K546" s="536"/>
      <c r="L546" s="537"/>
      <c r="M546" s="538"/>
      <c r="N546" s="540"/>
      <c r="O546" s="536"/>
      <c r="P546" s="536"/>
      <c r="Q546" s="537"/>
      <c r="R546" s="537"/>
      <c r="S546" s="541"/>
      <c r="T546" s="536"/>
      <c r="U546" s="542"/>
    </row>
    <row r="547" spans="1:21">
      <c r="A547" s="479"/>
      <c r="B547" s="4"/>
      <c r="C547" s="543"/>
      <c r="D547" s="544"/>
      <c r="E547" s="544"/>
      <c r="F547" s="544"/>
      <c r="G547" s="544"/>
      <c r="H547" s="545"/>
      <c r="I547" s="544"/>
      <c r="J547" s="546"/>
      <c r="K547" s="543"/>
      <c r="L547" s="547"/>
      <c r="M547" s="545"/>
      <c r="N547" s="548"/>
      <c r="O547" s="543"/>
      <c r="P547" s="543"/>
      <c r="Q547" s="547"/>
      <c r="R547" s="547"/>
      <c r="S547" s="549"/>
      <c r="T547" s="543"/>
      <c r="U547" s="550"/>
    </row>
    <row r="548" spans="1:21">
      <c r="A548" s="479"/>
      <c r="B548" s="505"/>
      <c r="C548" s="510"/>
      <c r="D548" s="512"/>
      <c r="E548" s="512"/>
      <c r="F548" s="512"/>
      <c r="G548" s="512"/>
      <c r="H548" s="529"/>
      <c r="I548" s="512"/>
      <c r="J548" s="514"/>
      <c r="K548" s="510"/>
      <c r="L548" s="511"/>
      <c r="M548" s="529"/>
      <c r="N548" s="530"/>
      <c r="O548" s="510"/>
      <c r="P548" s="510"/>
      <c r="Q548" s="511"/>
      <c r="R548" s="511"/>
      <c r="S548" s="517"/>
      <c r="T548" s="510"/>
      <c r="U548" s="528"/>
    </row>
    <row r="549" spans="1:21">
      <c r="A549" s="479"/>
      <c r="B549" s="4"/>
      <c r="C549" s="536"/>
      <c r="D549" s="537"/>
      <c r="E549" s="537"/>
      <c r="F549" s="537"/>
      <c r="G549" s="537"/>
      <c r="H549" s="538"/>
      <c r="I549" s="537"/>
      <c r="J549" s="539"/>
      <c r="K549" s="536"/>
      <c r="L549" s="537"/>
      <c r="M549" s="538"/>
      <c r="N549" s="540"/>
      <c r="O549" s="536"/>
      <c r="P549" s="536"/>
      <c r="Q549" s="537"/>
      <c r="R549" s="537"/>
      <c r="S549" s="541"/>
      <c r="T549" s="536"/>
      <c r="U549" s="542"/>
    </row>
    <row r="550" spans="1:21">
      <c r="A550" s="414"/>
      <c r="B550" s="4"/>
      <c r="C550" s="543"/>
      <c r="D550" s="544"/>
      <c r="E550" s="544"/>
      <c r="F550" s="544"/>
      <c r="G550" s="544"/>
      <c r="H550" s="545"/>
      <c r="I550" s="544"/>
      <c r="J550" s="546"/>
      <c r="K550" s="543"/>
      <c r="L550" s="547"/>
      <c r="M550" s="545"/>
      <c r="N550" s="548"/>
      <c r="O550" s="543"/>
      <c r="P550" s="543"/>
      <c r="Q550" s="547"/>
      <c r="R550" s="547"/>
      <c r="S550" s="549"/>
      <c r="T550" s="543"/>
      <c r="U550" s="550"/>
    </row>
    <row r="551" spans="1:21">
      <c r="A551" s="414"/>
      <c r="B551" s="480"/>
      <c r="C551" s="510"/>
      <c r="D551" s="512"/>
      <c r="E551" s="512"/>
      <c r="F551" s="512"/>
      <c r="G551" s="512"/>
      <c r="H551" s="529"/>
      <c r="I551" s="512"/>
      <c r="J551" s="514"/>
      <c r="K551" s="510"/>
      <c r="L551" s="511"/>
      <c r="M551" s="529"/>
      <c r="N551" s="530"/>
      <c r="O551" s="510"/>
      <c r="P551" s="510"/>
      <c r="Q551" s="511"/>
      <c r="R551" s="511"/>
      <c r="S551" s="517"/>
      <c r="T551" s="510"/>
      <c r="U551" s="528"/>
    </row>
    <row r="552" spans="1:21">
      <c r="A552" s="414"/>
      <c r="B552" s="4"/>
      <c r="C552" s="536"/>
      <c r="D552" s="537"/>
      <c r="E552" s="537"/>
      <c r="F552" s="537"/>
      <c r="G552" s="537"/>
      <c r="H552" s="538"/>
      <c r="I552" s="537"/>
      <c r="J552" s="539"/>
      <c r="K552" s="536"/>
      <c r="L552" s="537"/>
      <c r="M552" s="538"/>
      <c r="N552" s="540"/>
      <c r="O552" s="536"/>
      <c r="P552" s="536"/>
      <c r="Q552" s="537"/>
      <c r="R552" s="537"/>
      <c r="S552" s="541"/>
      <c r="T552" s="536"/>
      <c r="U552" s="542"/>
    </row>
    <row r="553" spans="1:21">
      <c r="A553" s="414"/>
      <c r="B553" s="4"/>
      <c r="C553" s="543"/>
      <c r="D553" s="544"/>
      <c r="E553" s="544"/>
      <c r="F553" s="544"/>
      <c r="G553" s="544"/>
      <c r="H553" s="545"/>
      <c r="I553" s="544"/>
      <c r="J553" s="546"/>
      <c r="K553" s="543"/>
      <c r="L553" s="547"/>
      <c r="M553" s="545"/>
      <c r="N553" s="548"/>
      <c r="O553" s="543"/>
      <c r="P553" s="543"/>
      <c r="Q553" s="547"/>
      <c r="R553" s="547"/>
      <c r="S553" s="549"/>
      <c r="T553" s="543"/>
      <c r="U553" s="550"/>
    </row>
    <row r="554" spans="1:21">
      <c r="A554" s="414"/>
      <c r="B554" s="480"/>
      <c r="C554" s="510"/>
      <c r="D554" s="512"/>
      <c r="E554" s="512"/>
      <c r="F554" s="512"/>
      <c r="G554" s="512"/>
      <c r="H554" s="529"/>
      <c r="I554" s="512"/>
      <c r="J554" s="514"/>
      <c r="K554" s="510"/>
      <c r="L554" s="511"/>
      <c r="M554" s="529"/>
      <c r="N554" s="530"/>
      <c r="O554" s="510"/>
      <c r="P554" s="510"/>
      <c r="Q554" s="511"/>
      <c r="R554" s="511"/>
      <c r="S554" s="517"/>
      <c r="T554" s="510"/>
      <c r="U554" s="528"/>
    </row>
    <row r="555" spans="1:21">
      <c r="A555" s="414"/>
      <c r="B555" s="4"/>
      <c r="C555" s="536"/>
      <c r="D555" s="537"/>
      <c r="E555" s="537"/>
      <c r="F555" s="537"/>
      <c r="G555" s="537"/>
      <c r="H555" s="538"/>
      <c r="I555" s="537"/>
      <c r="J555" s="539"/>
      <c r="K555" s="536"/>
      <c r="L555" s="537"/>
      <c r="M555" s="538"/>
      <c r="N555" s="540"/>
      <c r="O555" s="536"/>
      <c r="P555" s="536"/>
      <c r="Q555" s="537"/>
      <c r="R555" s="537"/>
      <c r="S555" s="541"/>
      <c r="T555" s="536"/>
      <c r="U555" s="542"/>
    </row>
    <row r="556" spans="1:21">
      <c r="A556" s="414"/>
      <c r="B556" s="4"/>
      <c r="C556" s="543"/>
      <c r="D556" s="544"/>
      <c r="E556" s="544"/>
      <c r="F556" s="544"/>
      <c r="G556" s="544"/>
      <c r="H556" s="545"/>
      <c r="I556" s="544"/>
      <c r="J556" s="546"/>
      <c r="K556" s="543"/>
      <c r="L556" s="547"/>
      <c r="M556" s="545"/>
      <c r="N556" s="548"/>
      <c r="O556" s="543"/>
      <c r="P556" s="543"/>
      <c r="Q556" s="547"/>
      <c r="R556" s="547"/>
      <c r="S556" s="549"/>
      <c r="T556" s="543"/>
      <c r="U556" s="550"/>
    </row>
    <row r="557" spans="1:21">
      <c r="A557" s="414"/>
      <c r="B557" s="480"/>
      <c r="C557" s="510"/>
      <c r="D557" s="512"/>
      <c r="E557" s="512"/>
      <c r="F557" s="512"/>
      <c r="G557" s="512"/>
      <c r="H557" s="529"/>
      <c r="I557" s="512"/>
      <c r="J557" s="514"/>
      <c r="K557" s="510"/>
      <c r="L557" s="511"/>
      <c r="M557" s="529"/>
      <c r="N557" s="530"/>
      <c r="O557" s="510"/>
      <c r="P557" s="510"/>
      <c r="Q557" s="511"/>
      <c r="R557" s="511"/>
      <c r="S557" s="517"/>
      <c r="T557" s="510"/>
      <c r="U557" s="528"/>
    </row>
    <row r="558" spans="1:21">
      <c r="A558" s="479"/>
      <c r="B558" s="4"/>
      <c r="C558" s="536"/>
      <c r="D558" s="537"/>
      <c r="E558" s="537"/>
      <c r="F558" s="537"/>
      <c r="G558" s="537"/>
      <c r="H558" s="538"/>
      <c r="I558" s="537"/>
      <c r="J558" s="539"/>
      <c r="K558" s="536"/>
      <c r="L558" s="537"/>
      <c r="M558" s="538"/>
      <c r="N558" s="540"/>
      <c r="O558" s="536"/>
      <c r="P558" s="536"/>
      <c r="Q558" s="537"/>
      <c r="R558" s="537"/>
      <c r="S558" s="541"/>
      <c r="T558" s="536"/>
      <c r="U558" s="542"/>
    </row>
    <row r="559" spans="1:21">
      <c r="A559" s="479"/>
      <c r="B559" s="4"/>
      <c r="C559" s="543"/>
      <c r="D559" s="544"/>
      <c r="E559" s="544"/>
      <c r="F559" s="544"/>
      <c r="G559" s="544"/>
      <c r="H559" s="545"/>
      <c r="I559" s="544"/>
      <c r="J559" s="546"/>
      <c r="K559" s="543"/>
      <c r="L559" s="547"/>
      <c r="M559" s="545"/>
      <c r="N559" s="548"/>
      <c r="O559" s="543"/>
      <c r="P559" s="543"/>
      <c r="Q559" s="547"/>
      <c r="R559" s="547"/>
      <c r="S559" s="549"/>
      <c r="T559" s="543"/>
      <c r="U559" s="550"/>
    </row>
    <row r="560" spans="1:21">
      <c r="A560" s="479"/>
      <c r="B560" s="480"/>
      <c r="C560" s="510"/>
      <c r="D560" s="512"/>
      <c r="E560" s="512"/>
      <c r="F560" s="512"/>
      <c r="G560" s="512"/>
      <c r="H560" s="529"/>
      <c r="I560" s="512"/>
      <c r="J560" s="514"/>
      <c r="K560" s="510"/>
      <c r="L560" s="511"/>
      <c r="M560" s="529"/>
      <c r="N560" s="530"/>
      <c r="O560" s="510"/>
      <c r="P560" s="510"/>
      <c r="Q560" s="511"/>
      <c r="R560" s="511"/>
      <c r="S560" s="517"/>
      <c r="T560" s="510"/>
      <c r="U560" s="528"/>
    </row>
    <row r="561" spans="1:21">
      <c r="A561" s="479"/>
      <c r="B561" s="4"/>
      <c r="C561" s="536"/>
      <c r="D561" s="537"/>
      <c r="E561" s="537"/>
      <c r="F561" s="537"/>
      <c r="G561" s="537"/>
      <c r="H561" s="538"/>
      <c r="I561" s="537"/>
      <c r="J561" s="539"/>
      <c r="K561" s="536"/>
      <c r="L561" s="537"/>
      <c r="M561" s="538"/>
      <c r="N561" s="540"/>
      <c r="O561" s="536"/>
      <c r="P561" s="536"/>
      <c r="Q561" s="537"/>
      <c r="R561" s="537"/>
      <c r="S561" s="541"/>
      <c r="T561" s="536"/>
      <c r="U561" s="542"/>
    </row>
    <row r="562" spans="1:21">
      <c r="A562" s="479"/>
      <c r="B562" s="4"/>
      <c r="C562" s="543"/>
      <c r="D562" s="544"/>
      <c r="E562" s="544"/>
      <c r="F562" s="544"/>
      <c r="G562" s="544"/>
      <c r="H562" s="545"/>
      <c r="I562" s="544"/>
      <c r="J562" s="546"/>
      <c r="K562" s="543"/>
      <c r="L562" s="547"/>
      <c r="M562" s="545"/>
      <c r="N562" s="548"/>
      <c r="O562" s="543"/>
      <c r="P562" s="543"/>
      <c r="Q562" s="547"/>
      <c r="R562" s="547"/>
      <c r="S562" s="549"/>
      <c r="T562" s="543"/>
      <c r="U562" s="550"/>
    </row>
    <row r="563" spans="1:21">
      <c r="A563" s="479"/>
      <c r="B563" s="480"/>
      <c r="C563" s="510"/>
      <c r="D563" s="512"/>
      <c r="E563" s="512"/>
      <c r="F563" s="512"/>
      <c r="G563" s="512"/>
      <c r="H563" s="529"/>
      <c r="I563" s="512"/>
      <c r="J563" s="514"/>
      <c r="K563" s="510"/>
      <c r="L563" s="511"/>
      <c r="M563" s="529"/>
      <c r="N563" s="530"/>
      <c r="O563" s="510"/>
      <c r="P563" s="510"/>
      <c r="Q563" s="511"/>
      <c r="R563" s="511"/>
      <c r="S563" s="517"/>
      <c r="T563" s="510"/>
      <c r="U563" s="528"/>
    </row>
    <row r="564" spans="1:21">
      <c r="A564" s="479"/>
      <c r="B564" s="4"/>
      <c r="C564" s="536"/>
      <c r="D564" s="537"/>
      <c r="E564" s="537"/>
      <c r="F564" s="537"/>
      <c r="G564" s="537"/>
      <c r="H564" s="538"/>
      <c r="I564" s="537"/>
      <c r="J564" s="539"/>
      <c r="K564" s="536"/>
      <c r="L564" s="537"/>
      <c r="M564" s="538"/>
      <c r="N564" s="540"/>
      <c r="O564" s="536"/>
      <c r="P564" s="536"/>
      <c r="Q564" s="537"/>
      <c r="R564" s="537"/>
      <c r="S564" s="541"/>
      <c r="T564" s="536"/>
      <c r="U564" s="542"/>
    </row>
    <row r="565" spans="1:21">
      <c r="A565" s="479"/>
      <c r="B565" s="4"/>
      <c r="C565" s="543"/>
      <c r="D565" s="544"/>
      <c r="E565" s="544"/>
      <c r="F565" s="544"/>
      <c r="G565" s="544"/>
      <c r="H565" s="545"/>
      <c r="I565" s="544"/>
      <c r="J565" s="546"/>
      <c r="K565" s="543"/>
      <c r="L565" s="547"/>
      <c r="M565" s="545"/>
      <c r="N565" s="548"/>
      <c r="O565" s="543"/>
      <c r="P565" s="543"/>
      <c r="Q565" s="547"/>
      <c r="R565" s="547"/>
      <c r="S565" s="549"/>
      <c r="T565" s="543"/>
      <c r="U565" s="550"/>
    </row>
    <row r="566" spans="1:21">
      <c r="A566" s="479"/>
      <c r="B566" s="480"/>
      <c r="C566" s="510"/>
      <c r="D566" s="512"/>
      <c r="E566" s="512"/>
      <c r="F566" s="512"/>
      <c r="G566" s="512"/>
      <c r="H566" s="529"/>
      <c r="I566" s="512"/>
      <c r="J566" s="514"/>
      <c r="K566" s="510"/>
      <c r="L566" s="511"/>
      <c r="M566" s="529"/>
      <c r="N566" s="530"/>
      <c r="O566" s="510"/>
      <c r="P566" s="510"/>
      <c r="Q566" s="511"/>
      <c r="R566" s="511"/>
      <c r="S566" s="517"/>
      <c r="T566" s="510"/>
      <c r="U566" s="528"/>
    </row>
    <row r="567" spans="1:21">
      <c r="A567" s="479"/>
      <c r="B567" s="4"/>
      <c r="C567" s="536"/>
      <c r="D567" s="537"/>
      <c r="E567" s="537"/>
      <c r="F567" s="537"/>
      <c r="G567" s="537"/>
      <c r="H567" s="538"/>
      <c r="I567" s="537"/>
      <c r="J567" s="539"/>
      <c r="K567" s="536"/>
      <c r="L567" s="537"/>
      <c r="M567" s="538"/>
      <c r="N567" s="540"/>
      <c r="O567" s="536"/>
      <c r="P567" s="536"/>
      <c r="Q567" s="537"/>
      <c r="R567" s="537"/>
      <c r="S567" s="541"/>
      <c r="T567" s="536"/>
      <c r="U567" s="542"/>
    </row>
    <row r="568" spans="1:21">
      <c r="A568" s="479"/>
      <c r="B568" s="4"/>
      <c r="C568" s="543"/>
      <c r="D568" s="544"/>
      <c r="E568" s="544"/>
      <c r="F568" s="544"/>
      <c r="G568" s="544"/>
      <c r="H568" s="545"/>
      <c r="I568" s="544"/>
      <c r="J568" s="546"/>
      <c r="K568" s="543"/>
      <c r="L568" s="547"/>
      <c r="M568" s="545"/>
      <c r="N568" s="548"/>
      <c r="O568" s="543"/>
      <c r="P568" s="543"/>
      <c r="Q568" s="547"/>
      <c r="R568" s="547"/>
      <c r="S568" s="549"/>
      <c r="T568" s="543"/>
      <c r="U568" s="550"/>
    </row>
    <row r="569" spans="1:21">
      <c r="A569" s="479"/>
      <c r="B569" s="480"/>
      <c r="C569" s="510"/>
      <c r="D569" s="512"/>
      <c r="E569" s="512"/>
      <c r="F569" s="512"/>
      <c r="G569" s="512"/>
      <c r="H569" s="529"/>
      <c r="I569" s="512"/>
      <c r="J569" s="514"/>
      <c r="K569" s="510"/>
      <c r="L569" s="511"/>
      <c r="M569" s="529"/>
      <c r="N569" s="530"/>
      <c r="O569" s="510"/>
      <c r="P569" s="510"/>
      <c r="Q569" s="511"/>
      <c r="R569" s="511"/>
      <c r="S569" s="517"/>
      <c r="T569" s="510"/>
      <c r="U569" s="528"/>
    </row>
    <row r="570" spans="1:21">
      <c r="A570" s="479"/>
      <c r="B570" s="4"/>
      <c r="C570" s="536"/>
      <c r="D570" s="537"/>
      <c r="E570" s="537"/>
      <c r="F570" s="537"/>
      <c r="G570" s="537"/>
      <c r="H570" s="538"/>
      <c r="I570" s="537"/>
      <c r="J570" s="539"/>
      <c r="K570" s="536"/>
      <c r="L570" s="537"/>
      <c r="M570" s="538"/>
      <c r="N570" s="540"/>
      <c r="O570" s="536"/>
      <c r="P570" s="536"/>
      <c r="Q570" s="537"/>
      <c r="R570" s="537"/>
      <c r="S570" s="541"/>
      <c r="T570" s="536"/>
      <c r="U570" s="542"/>
    </row>
    <row r="571" spans="1:21">
      <c r="A571" s="479"/>
      <c r="B571" s="4"/>
      <c r="C571" s="543"/>
      <c r="D571" s="544"/>
      <c r="E571" s="544"/>
      <c r="F571" s="544"/>
      <c r="G571" s="544"/>
      <c r="H571" s="545"/>
      <c r="I571" s="544"/>
      <c r="J571" s="546"/>
      <c r="K571" s="543"/>
      <c r="L571" s="547"/>
      <c r="M571" s="545"/>
      <c r="N571" s="548"/>
      <c r="O571" s="543"/>
      <c r="P571" s="543"/>
      <c r="Q571" s="547"/>
      <c r="R571" s="547"/>
      <c r="S571" s="549"/>
      <c r="T571" s="543"/>
      <c r="U571" s="550"/>
    </row>
    <row r="572" spans="1:21">
      <c r="A572" s="479"/>
      <c r="B572" s="480"/>
      <c r="C572" s="510"/>
      <c r="D572" s="512"/>
      <c r="E572" s="512"/>
      <c r="F572" s="512"/>
      <c r="G572" s="512"/>
      <c r="H572" s="529"/>
      <c r="I572" s="512"/>
      <c r="J572" s="514"/>
      <c r="K572" s="510"/>
      <c r="L572" s="511"/>
      <c r="M572" s="529"/>
      <c r="N572" s="530"/>
      <c r="O572" s="510"/>
      <c r="P572" s="510"/>
      <c r="Q572" s="511"/>
      <c r="R572" s="511"/>
      <c r="S572" s="517"/>
      <c r="T572" s="510"/>
      <c r="U572" s="528"/>
    </row>
    <row r="573" spans="1:21">
      <c r="A573" s="479"/>
      <c r="B573" s="4"/>
      <c r="C573" s="536"/>
      <c r="D573" s="537"/>
      <c r="E573" s="537"/>
      <c r="F573" s="537"/>
      <c r="G573" s="537"/>
      <c r="H573" s="538"/>
      <c r="I573" s="537"/>
      <c r="J573" s="539"/>
      <c r="K573" s="536"/>
      <c r="L573" s="537"/>
      <c r="M573" s="538"/>
      <c r="N573" s="540"/>
      <c r="O573" s="536"/>
      <c r="P573" s="536"/>
      <c r="Q573" s="537"/>
      <c r="R573" s="537"/>
      <c r="S573" s="541"/>
      <c r="T573" s="536"/>
      <c r="U573" s="542"/>
    </row>
    <row r="574" spans="1:21">
      <c r="A574" s="479"/>
      <c r="B574" s="4"/>
      <c r="C574" s="543"/>
      <c r="D574" s="544"/>
      <c r="E574" s="544"/>
      <c r="F574" s="544"/>
      <c r="G574" s="544"/>
      <c r="H574" s="545"/>
      <c r="I574" s="544"/>
      <c r="J574" s="546"/>
      <c r="K574" s="543"/>
      <c r="L574" s="547"/>
      <c r="M574" s="545"/>
      <c r="N574" s="548"/>
      <c r="O574" s="543"/>
      <c r="P574" s="543"/>
      <c r="Q574" s="547"/>
      <c r="R574" s="547"/>
      <c r="S574" s="549"/>
      <c r="T574" s="543"/>
      <c r="U574" s="550"/>
    </row>
    <row r="575" spans="1:21">
      <c r="A575" s="479"/>
      <c r="B575" s="480"/>
      <c r="C575" s="510"/>
      <c r="D575" s="512"/>
      <c r="E575" s="512"/>
      <c r="F575" s="512"/>
      <c r="G575" s="512"/>
      <c r="H575" s="529"/>
      <c r="I575" s="512"/>
      <c r="J575" s="514"/>
      <c r="K575" s="510"/>
      <c r="L575" s="511"/>
      <c r="M575" s="529"/>
      <c r="N575" s="530"/>
      <c r="O575" s="510"/>
      <c r="P575" s="510"/>
      <c r="Q575" s="511"/>
      <c r="R575" s="511"/>
      <c r="S575" s="517"/>
      <c r="T575" s="510"/>
      <c r="U575" s="528"/>
    </row>
    <row r="576" spans="1:21">
      <c r="A576" s="479"/>
      <c r="B576" s="4"/>
      <c r="C576" s="536"/>
      <c r="D576" s="537"/>
      <c r="E576" s="537"/>
      <c r="F576" s="537"/>
      <c r="G576" s="537"/>
      <c r="H576" s="538"/>
      <c r="I576" s="537"/>
      <c r="J576" s="539"/>
      <c r="K576" s="536"/>
      <c r="L576" s="537"/>
      <c r="M576" s="538"/>
      <c r="N576" s="540"/>
      <c r="O576" s="536"/>
      <c r="P576" s="536"/>
      <c r="Q576" s="537"/>
      <c r="R576" s="537"/>
      <c r="S576" s="541"/>
      <c r="T576" s="536"/>
      <c r="U576" s="542"/>
    </row>
    <row r="577" spans="1:21">
      <c r="A577" s="479"/>
      <c r="B577" s="4"/>
      <c r="C577" s="543"/>
      <c r="D577" s="544"/>
      <c r="E577" s="544"/>
      <c r="F577" s="544"/>
      <c r="G577" s="544"/>
      <c r="H577" s="545"/>
      <c r="I577" s="544"/>
      <c r="J577" s="546"/>
      <c r="K577" s="543"/>
      <c r="L577" s="547"/>
      <c r="M577" s="545"/>
      <c r="N577" s="548"/>
      <c r="O577" s="543"/>
      <c r="P577" s="543"/>
      <c r="Q577" s="547"/>
      <c r="R577" s="547"/>
      <c r="S577" s="549"/>
      <c r="T577" s="543"/>
      <c r="U577" s="550"/>
    </row>
    <row r="578" spans="1:21">
      <c r="A578" s="479"/>
      <c r="B578" s="480"/>
      <c r="C578" s="551"/>
      <c r="D578" s="552"/>
      <c r="E578" s="552"/>
      <c r="F578" s="552"/>
      <c r="G578" s="552"/>
      <c r="H578" s="529"/>
      <c r="I578" s="552"/>
      <c r="J578" s="531"/>
      <c r="K578" s="551"/>
      <c r="L578" s="552"/>
      <c r="M578" s="529"/>
      <c r="N578" s="530"/>
      <c r="O578" s="551"/>
      <c r="P578" s="551"/>
      <c r="Q578" s="552"/>
      <c r="R578" s="552"/>
      <c r="S578" s="553"/>
      <c r="T578" s="551"/>
      <c r="U578" s="554"/>
    </row>
    <row r="579" spans="1:21">
      <c r="A579" s="479"/>
      <c r="B579" s="4"/>
      <c r="C579" s="506"/>
      <c r="D579" s="508"/>
      <c r="E579" s="508"/>
      <c r="F579" s="508"/>
      <c r="G579" s="508"/>
      <c r="H579" s="508"/>
      <c r="I579" s="508"/>
      <c r="J579" s="509"/>
      <c r="K579" s="506"/>
      <c r="L579" s="507"/>
      <c r="M579" s="507"/>
      <c r="N579" s="507"/>
      <c r="O579" s="506"/>
      <c r="P579" s="506"/>
      <c r="Q579" s="507"/>
      <c r="R579" s="507"/>
      <c r="S579" s="515"/>
      <c r="T579" s="506"/>
      <c r="U579" s="527"/>
    </row>
    <row r="580" spans="1:21">
      <c r="A580" s="479"/>
      <c r="B580" s="4"/>
      <c r="C580" s="506"/>
      <c r="D580" s="508"/>
      <c r="E580" s="508"/>
      <c r="F580" s="508"/>
      <c r="G580" s="508"/>
      <c r="H580" s="508"/>
      <c r="I580" s="508"/>
      <c r="J580" s="509"/>
      <c r="K580" s="506"/>
      <c r="L580" s="507"/>
      <c r="M580" s="507"/>
      <c r="N580" s="507"/>
      <c r="O580" s="506"/>
      <c r="P580" s="506"/>
      <c r="Q580" s="507"/>
      <c r="R580" s="507"/>
      <c r="S580" s="515"/>
      <c r="T580" s="506"/>
      <c r="U580" s="527"/>
    </row>
    <row r="581" spans="1:21">
      <c r="A581" s="502"/>
      <c r="B581" s="481"/>
      <c r="C581" s="510"/>
      <c r="D581" s="512"/>
      <c r="E581" s="512"/>
      <c r="F581" s="512"/>
      <c r="G581" s="512"/>
      <c r="H581" s="529"/>
      <c r="I581" s="512"/>
      <c r="J581" s="514"/>
      <c r="K581" s="510"/>
      <c r="L581" s="511"/>
      <c r="M581" s="529"/>
      <c r="N581" s="530"/>
      <c r="O581" s="510"/>
      <c r="P581" s="510"/>
      <c r="Q581" s="511"/>
      <c r="R581" s="511"/>
      <c r="S581" s="517"/>
      <c r="T581" s="510"/>
      <c r="U581" s="528"/>
    </row>
    <row r="582" spans="1:21">
      <c r="A582" s="478"/>
      <c r="B582" s="3"/>
      <c r="C582" s="463"/>
      <c r="D582" s="464"/>
      <c r="E582" s="464"/>
      <c r="F582" s="464"/>
      <c r="G582" s="464"/>
      <c r="H582" s="464"/>
      <c r="I582" s="464"/>
      <c r="J582" s="466"/>
      <c r="K582" s="463"/>
      <c r="L582" s="464"/>
      <c r="M582" s="464"/>
      <c r="N582" s="464"/>
      <c r="O582" s="463"/>
      <c r="P582" s="463"/>
      <c r="Q582" s="464"/>
      <c r="R582" s="464"/>
      <c r="S582" s="516"/>
      <c r="T582" s="463"/>
      <c r="U582" s="465"/>
    </row>
    <row r="583" spans="1:21">
      <c r="A583" s="479"/>
      <c r="B583" s="4"/>
      <c r="C583" s="506"/>
      <c r="D583" s="508"/>
      <c r="E583" s="508"/>
      <c r="F583" s="508"/>
      <c r="G583" s="508"/>
      <c r="H583" s="508"/>
      <c r="I583" s="508"/>
      <c r="J583" s="509"/>
      <c r="K583" s="506"/>
      <c r="L583" s="507"/>
      <c r="M583" s="507"/>
      <c r="N583" s="507"/>
      <c r="O583" s="506"/>
      <c r="P583" s="506"/>
      <c r="Q583" s="507"/>
      <c r="R583" s="507"/>
      <c r="S583" s="515"/>
      <c r="T583" s="506"/>
      <c r="U583" s="527"/>
    </row>
    <row r="584" spans="1:21">
      <c r="A584" s="479"/>
      <c r="B584" s="505"/>
      <c r="C584" s="510"/>
      <c r="D584" s="512"/>
      <c r="E584" s="512"/>
      <c r="F584" s="512"/>
      <c r="G584" s="512"/>
      <c r="H584" s="512"/>
      <c r="I584" s="512"/>
      <c r="J584" s="514"/>
      <c r="K584" s="510"/>
      <c r="L584" s="511"/>
      <c r="M584" s="511"/>
      <c r="N584" s="511"/>
      <c r="O584" s="510"/>
      <c r="P584" s="510"/>
      <c r="Q584" s="511"/>
      <c r="R584" s="511"/>
      <c r="S584" s="517"/>
      <c r="T584" s="510"/>
      <c r="U584" s="528"/>
    </row>
    <row r="585" spans="1:21">
      <c r="A585" s="479"/>
      <c r="B585" s="4"/>
      <c r="C585" s="506"/>
      <c r="D585" s="508"/>
      <c r="E585" s="508"/>
      <c r="F585" s="508"/>
      <c r="G585" s="508"/>
      <c r="H585" s="508"/>
      <c r="I585" s="508"/>
      <c r="J585" s="509"/>
      <c r="K585" s="506"/>
      <c r="L585" s="507"/>
      <c r="M585" s="507"/>
      <c r="N585" s="507"/>
      <c r="O585" s="506"/>
      <c r="P585" s="506"/>
      <c r="Q585" s="507"/>
      <c r="R585" s="507"/>
      <c r="S585" s="515"/>
      <c r="T585" s="506"/>
      <c r="U585" s="527"/>
    </row>
    <row r="586" spans="1:21">
      <c r="A586" s="479"/>
      <c r="B586" s="4"/>
      <c r="C586" s="506"/>
      <c r="D586" s="508"/>
      <c r="E586" s="508"/>
      <c r="F586" s="508"/>
      <c r="G586" s="508"/>
      <c r="H586" s="508"/>
      <c r="I586" s="508"/>
      <c r="J586" s="509"/>
      <c r="K586" s="506"/>
      <c r="L586" s="507"/>
      <c r="M586" s="507"/>
      <c r="N586" s="507"/>
      <c r="O586" s="506"/>
      <c r="P586" s="506"/>
      <c r="Q586" s="507"/>
      <c r="R586" s="507"/>
      <c r="S586" s="515"/>
      <c r="T586" s="506"/>
      <c r="U586" s="527"/>
    </row>
    <row r="587" spans="1:21">
      <c r="A587" s="479"/>
      <c r="B587" s="4"/>
      <c r="C587" s="506"/>
      <c r="D587" s="508"/>
      <c r="E587" s="508"/>
      <c r="F587" s="508"/>
      <c r="G587" s="508"/>
      <c r="H587" s="508"/>
      <c r="I587" s="508"/>
      <c r="J587" s="509"/>
      <c r="K587" s="506"/>
      <c r="L587" s="507"/>
      <c r="M587" s="507"/>
      <c r="N587" s="507"/>
      <c r="O587" s="506"/>
      <c r="P587" s="506"/>
      <c r="Q587" s="507"/>
      <c r="R587" s="507"/>
      <c r="S587" s="515"/>
      <c r="T587" s="506"/>
      <c r="U587" s="527"/>
    </row>
    <row r="588" spans="1:21">
      <c r="A588" s="479"/>
      <c r="B588" s="4"/>
      <c r="C588" s="506"/>
      <c r="D588" s="508"/>
      <c r="E588" s="508"/>
      <c r="F588" s="508"/>
      <c r="G588" s="508"/>
      <c r="H588" s="508"/>
      <c r="I588" s="508"/>
      <c r="J588" s="509"/>
      <c r="K588" s="506"/>
      <c r="L588" s="507"/>
      <c r="M588" s="507"/>
      <c r="N588" s="507"/>
      <c r="O588" s="506"/>
      <c r="P588" s="506"/>
      <c r="Q588" s="507"/>
      <c r="R588" s="507"/>
      <c r="S588" s="515"/>
      <c r="T588" s="506"/>
      <c r="U588" s="527"/>
    </row>
    <row r="589" spans="1:21">
      <c r="A589" s="479"/>
      <c r="B589" s="4"/>
      <c r="C589" s="506"/>
      <c r="D589" s="508"/>
      <c r="E589" s="508"/>
      <c r="F589" s="508"/>
      <c r="G589" s="508"/>
      <c r="H589" s="508"/>
      <c r="I589" s="508"/>
      <c r="J589" s="509"/>
      <c r="K589" s="506"/>
      <c r="L589" s="507"/>
      <c r="M589" s="507"/>
      <c r="N589" s="507"/>
      <c r="O589" s="506"/>
      <c r="P589" s="506"/>
      <c r="Q589" s="507"/>
      <c r="R589" s="507"/>
      <c r="S589" s="515"/>
      <c r="T589" s="506"/>
      <c r="U589" s="527"/>
    </row>
    <row r="590" spans="1:21">
      <c r="A590" s="479"/>
      <c r="B590" s="4"/>
      <c r="C590" s="506"/>
      <c r="D590" s="508"/>
      <c r="E590" s="508"/>
      <c r="F590" s="508"/>
      <c r="G590" s="508"/>
      <c r="H590" s="508"/>
      <c r="I590" s="508"/>
      <c r="J590" s="509"/>
      <c r="K590" s="506"/>
      <c r="L590" s="507"/>
      <c r="M590" s="507"/>
      <c r="N590" s="507"/>
      <c r="O590" s="506"/>
      <c r="P590" s="506"/>
      <c r="Q590" s="507"/>
      <c r="R590" s="507"/>
      <c r="S590" s="515"/>
      <c r="T590" s="506"/>
      <c r="U590" s="527"/>
    </row>
    <row r="591" spans="1:21">
      <c r="A591" s="479"/>
      <c r="B591" s="4"/>
      <c r="C591" s="506"/>
      <c r="D591" s="508"/>
      <c r="E591" s="508"/>
      <c r="F591" s="508"/>
      <c r="G591" s="508"/>
      <c r="H591" s="508"/>
      <c r="I591" s="508"/>
      <c r="J591" s="509"/>
      <c r="K591" s="506"/>
      <c r="L591" s="507"/>
      <c r="M591" s="507"/>
      <c r="N591" s="507"/>
      <c r="O591" s="506"/>
      <c r="P591" s="506"/>
      <c r="Q591" s="507"/>
      <c r="R591" s="507"/>
      <c r="S591" s="515"/>
      <c r="T591" s="506"/>
      <c r="U591" s="527"/>
    </row>
    <row r="592" spans="1:21">
      <c r="A592" s="479"/>
      <c r="B592" s="4"/>
      <c r="C592" s="506"/>
      <c r="D592" s="508"/>
      <c r="E592" s="508"/>
      <c r="F592" s="508"/>
      <c r="G592" s="508"/>
      <c r="H592" s="508"/>
      <c r="I592" s="508"/>
      <c r="J592" s="509"/>
      <c r="K592" s="506"/>
      <c r="L592" s="507"/>
      <c r="M592" s="507"/>
      <c r="N592" s="507"/>
      <c r="O592" s="506"/>
      <c r="P592" s="506"/>
      <c r="Q592" s="507"/>
      <c r="R592" s="507"/>
      <c r="S592" s="515"/>
      <c r="T592" s="506"/>
      <c r="U592" s="527"/>
    </row>
    <row r="593" spans="1:21">
      <c r="A593" s="479"/>
      <c r="B593" s="4"/>
      <c r="C593" s="506"/>
      <c r="D593" s="508"/>
      <c r="E593" s="508"/>
      <c r="F593" s="508"/>
      <c r="G593" s="508"/>
      <c r="H593" s="508"/>
      <c r="I593" s="508"/>
      <c r="J593" s="509"/>
      <c r="K593" s="506"/>
      <c r="L593" s="507"/>
      <c r="M593" s="507"/>
      <c r="N593" s="507"/>
      <c r="O593" s="506"/>
      <c r="P593" s="506"/>
      <c r="Q593" s="507"/>
      <c r="R593" s="507"/>
      <c r="S593" s="515"/>
      <c r="T593" s="506"/>
      <c r="U593" s="527"/>
    </row>
    <row r="594" spans="1:21">
      <c r="A594" s="479"/>
      <c r="B594" s="4"/>
      <c r="C594" s="506"/>
      <c r="D594" s="508"/>
      <c r="E594" s="508"/>
      <c r="F594" s="508"/>
      <c r="G594" s="508"/>
      <c r="H594" s="508"/>
      <c r="I594" s="508"/>
      <c r="J594" s="509"/>
      <c r="K594" s="506"/>
      <c r="L594" s="507"/>
      <c r="M594" s="507"/>
      <c r="N594" s="507"/>
      <c r="O594" s="506"/>
      <c r="P594" s="506"/>
      <c r="Q594" s="507"/>
      <c r="R594" s="507"/>
      <c r="S594" s="515"/>
      <c r="T594" s="506"/>
      <c r="U594" s="527"/>
    </row>
    <row r="595" spans="1:21">
      <c r="A595" s="479"/>
      <c r="B595" s="4"/>
      <c r="C595" s="506"/>
      <c r="D595" s="508"/>
      <c r="E595" s="508"/>
      <c r="F595" s="508"/>
      <c r="G595" s="508"/>
      <c r="H595" s="508"/>
      <c r="I595" s="508"/>
      <c r="J595" s="509"/>
      <c r="K595" s="506"/>
      <c r="L595" s="507"/>
      <c r="M595" s="507"/>
      <c r="N595" s="507"/>
      <c r="O595" s="506"/>
      <c r="P595" s="506"/>
      <c r="Q595" s="507"/>
      <c r="R595" s="507"/>
      <c r="S595" s="515"/>
      <c r="T595" s="506"/>
      <c r="U595" s="527"/>
    </row>
    <row r="596" spans="1:21">
      <c r="A596" s="479"/>
      <c r="B596" s="4"/>
      <c r="C596" s="506"/>
      <c r="D596" s="508"/>
      <c r="E596" s="508"/>
      <c r="F596" s="508"/>
      <c r="G596" s="508"/>
      <c r="H596" s="508"/>
      <c r="I596" s="508"/>
      <c r="J596" s="509"/>
      <c r="K596" s="506"/>
      <c r="L596" s="507"/>
      <c r="M596" s="507"/>
      <c r="N596" s="507"/>
      <c r="O596" s="506"/>
      <c r="P596" s="506"/>
      <c r="Q596" s="507"/>
      <c r="R596" s="507"/>
      <c r="S596" s="515"/>
      <c r="T596" s="506"/>
      <c r="U596" s="527"/>
    </row>
    <row r="597" spans="1:21">
      <c r="A597" s="479"/>
      <c r="B597" s="4"/>
      <c r="C597" s="506"/>
      <c r="D597" s="508"/>
      <c r="E597" s="508"/>
      <c r="F597" s="508"/>
      <c r="G597" s="508"/>
      <c r="H597" s="508"/>
      <c r="I597" s="508"/>
      <c r="J597" s="509"/>
      <c r="K597" s="506"/>
      <c r="L597" s="507"/>
      <c r="M597" s="507"/>
      <c r="N597" s="507"/>
      <c r="O597" s="506"/>
      <c r="P597" s="506"/>
      <c r="Q597" s="507"/>
      <c r="R597" s="507"/>
      <c r="S597" s="515"/>
      <c r="T597" s="506"/>
      <c r="U597" s="527"/>
    </row>
    <row r="598" spans="1:21">
      <c r="A598" s="479"/>
      <c r="B598" s="4"/>
      <c r="C598" s="506"/>
      <c r="D598" s="508"/>
      <c r="E598" s="508"/>
      <c r="F598" s="508"/>
      <c r="G598" s="508"/>
      <c r="H598" s="508"/>
      <c r="I598" s="508"/>
      <c r="J598" s="509"/>
      <c r="K598" s="506"/>
      <c r="L598" s="507"/>
      <c r="M598" s="507"/>
      <c r="N598" s="507"/>
      <c r="O598" s="506"/>
      <c r="P598" s="506"/>
      <c r="Q598" s="507"/>
      <c r="R598" s="507"/>
      <c r="S598" s="515"/>
      <c r="T598" s="506"/>
      <c r="U598" s="527"/>
    </row>
    <row r="599" spans="1:21">
      <c r="A599" s="479"/>
      <c r="B599" s="4"/>
      <c r="C599" s="506"/>
      <c r="D599" s="508"/>
      <c r="E599" s="508"/>
      <c r="F599" s="508"/>
      <c r="G599" s="508"/>
      <c r="H599" s="508"/>
      <c r="I599" s="508"/>
      <c r="J599" s="509"/>
      <c r="K599" s="506"/>
      <c r="L599" s="507"/>
      <c r="M599" s="507"/>
      <c r="N599" s="507"/>
      <c r="O599" s="506"/>
      <c r="P599" s="506"/>
      <c r="Q599" s="507"/>
      <c r="R599" s="507"/>
      <c r="S599" s="515"/>
      <c r="T599" s="506"/>
      <c r="U599" s="527"/>
    </row>
    <row r="600" spans="1:21">
      <c r="A600" s="479"/>
      <c r="B600" s="4"/>
      <c r="C600" s="506"/>
      <c r="D600" s="508"/>
      <c r="E600" s="508"/>
      <c r="F600" s="508"/>
      <c r="G600" s="508"/>
      <c r="H600" s="508"/>
      <c r="I600" s="508"/>
      <c r="J600" s="509"/>
      <c r="K600" s="506"/>
      <c r="L600" s="507"/>
      <c r="M600" s="507"/>
      <c r="N600" s="507"/>
      <c r="O600" s="506"/>
      <c r="P600" s="506"/>
      <c r="Q600" s="507"/>
      <c r="R600" s="507"/>
      <c r="S600" s="515"/>
      <c r="T600" s="506"/>
      <c r="U600" s="527"/>
    </row>
    <row r="601" spans="1:21">
      <c r="A601" s="479"/>
      <c r="B601" s="4"/>
      <c r="C601" s="506"/>
      <c r="D601" s="508"/>
      <c r="E601" s="508"/>
      <c r="F601" s="508"/>
      <c r="G601" s="508"/>
      <c r="H601" s="508"/>
      <c r="I601" s="508"/>
      <c r="J601" s="509"/>
      <c r="K601" s="506"/>
      <c r="L601" s="507"/>
      <c r="M601" s="507"/>
      <c r="N601" s="507"/>
      <c r="O601" s="506"/>
      <c r="P601" s="506"/>
      <c r="Q601" s="507"/>
      <c r="R601" s="507"/>
      <c r="S601" s="515"/>
      <c r="T601" s="506"/>
      <c r="U601" s="527"/>
    </row>
    <row r="602" spans="1:21">
      <c r="A602" s="479"/>
      <c r="B602" s="4"/>
      <c r="C602" s="506"/>
      <c r="D602" s="508"/>
      <c r="E602" s="508"/>
      <c r="F602" s="508"/>
      <c r="G602" s="508"/>
      <c r="H602" s="508"/>
      <c r="I602" s="508"/>
      <c r="J602" s="509"/>
      <c r="K602" s="506"/>
      <c r="L602" s="507"/>
      <c r="M602" s="507"/>
      <c r="N602" s="507"/>
      <c r="O602" s="506"/>
      <c r="P602" s="506"/>
      <c r="Q602" s="507"/>
      <c r="R602" s="507"/>
      <c r="S602" s="515"/>
      <c r="T602" s="506"/>
      <c r="U602" s="527"/>
    </row>
    <row r="603" spans="1:21">
      <c r="A603" s="479"/>
      <c r="B603" s="4"/>
      <c r="C603" s="506"/>
      <c r="D603" s="508"/>
      <c r="E603" s="508"/>
      <c r="F603" s="508"/>
      <c r="G603" s="508"/>
      <c r="H603" s="508"/>
      <c r="I603" s="508"/>
      <c r="J603" s="509"/>
      <c r="K603" s="506"/>
      <c r="L603" s="507"/>
      <c r="M603" s="507"/>
      <c r="N603" s="507"/>
      <c r="O603" s="506"/>
      <c r="P603" s="506"/>
      <c r="Q603" s="507"/>
      <c r="R603" s="507"/>
      <c r="S603" s="515"/>
      <c r="T603" s="506"/>
      <c r="U603" s="527"/>
    </row>
    <row r="604" spans="1:21">
      <c r="A604" s="479"/>
      <c r="B604" s="4"/>
      <c r="C604" s="506"/>
      <c r="D604" s="508"/>
      <c r="E604" s="508"/>
      <c r="F604" s="508"/>
      <c r="G604" s="508"/>
      <c r="H604" s="508"/>
      <c r="I604" s="508"/>
      <c r="J604" s="509"/>
      <c r="K604" s="506"/>
      <c r="L604" s="507"/>
      <c r="M604" s="507"/>
      <c r="N604" s="507"/>
      <c r="O604" s="506"/>
      <c r="P604" s="506"/>
      <c r="Q604" s="507"/>
      <c r="R604" s="507"/>
      <c r="S604" s="515"/>
      <c r="T604" s="506"/>
      <c r="U604" s="527"/>
    </row>
    <row r="605" spans="1:21">
      <c r="A605" s="479"/>
      <c r="B605" s="4"/>
      <c r="C605" s="506"/>
      <c r="D605" s="508"/>
      <c r="E605" s="508"/>
      <c r="F605" s="508"/>
      <c r="G605" s="508"/>
      <c r="H605" s="508"/>
      <c r="I605" s="508"/>
      <c r="J605" s="509"/>
      <c r="K605" s="506"/>
      <c r="L605" s="507"/>
      <c r="M605" s="507"/>
      <c r="N605" s="507"/>
      <c r="O605" s="506"/>
      <c r="P605" s="506"/>
      <c r="Q605" s="507"/>
      <c r="R605" s="507"/>
      <c r="S605" s="515"/>
      <c r="T605" s="506"/>
      <c r="U605" s="527"/>
    </row>
    <row r="606" spans="1:21">
      <c r="A606" s="479"/>
      <c r="B606" s="4"/>
      <c r="C606" s="506"/>
      <c r="D606" s="508"/>
      <c r="E606" s="508"/>
      <c r="F606" s="508"/>
      <c r="G606" s="508"/>
      <c r="H606" s="508"/>
      <c r="I606" s="508"/>
      <c r="J606" s="509"/>
      <c r="K606" s="506"/>
      <c r="L606" s="507"/>
      <c r="M606" s="507"/>
      <c r="N606" s="507"/>
      <c r="O606" s="506"/>
      <c r="P606" s="506"/>
      <c r="Q606" s="507"/>
      <c r="R606" s="507"/>
      <c r="S606" s="515"/>
      <c r="T606" s="506"/>
      <c r="U606" s="527"/>
    </row>
    <row r="607" spans="1:21">
      <c r="A607" s="479"/>
      <c r="B607" s="4"/>
      <c r="C607" s="506"/>
      <c r="D607" s="508"/>
      <c r="E607" s="508"/>
      <c r="F607" s="508"/>
      <c r="G607" s="508"/>
      <c r="H607" s="508"/>
      <c r="I607" s="508"/>
      <c r="J607" s="509"/>
      <c r="K607" s="506"/>
      <c r="L607" s="507"/>
      <c r="M607" s="507"/>
      <c r="N607" s="507"/>
      <c r="O607" s="506"/>
      <c r="P607" s="506"/>
      <c r="Q607" s="507"/>
      <c r="R607" s="507"/>
      <c r="S607" s="515"/>
      <c r="T607" s="506"/>
      <c r="U607" s="527"/>
    </row>
    <row r="608" spans="1:21">
      <c r="A608" s="479"/>
      <c r="B608" s="4"/>
      <c r="C608" s="506"/>
      <c r="D608" s="508"/>
      <c r="E608" s="508"/>
      <c r="F608" s="508"/>
      <c r="G608" s="508"/>
      <c r="H608" s="508"/>
      <c r="I608" s="508"/>
      <c r="J608" s="509"/>
      <c r="K608" s="506"/>
      <c r="L608" s="507"/>
      <c r="M608" s="507"/>
      <c r="N608" s="507"/>
      <c r="O608" s="506"/>
      <c r="P608" s="506"/>
      <c r="Q608" s="507"/>
      <c r="R608" s="507"/>
      <c r="S608" s="515"/>
      <c r="T608" s="506"/>
      <c r="U608" s="527"/>
    </row>
    <row r="609" spans="1:21">
      <c r="A609" s="479"/>
      <c r="B609" s="4"/>
      <c r="C609" s="506"/>
      <c r="D609" s="508"/>
      <c r="E609" s="508"/>
      <c r="F609" s="508"/>
      <c r="G609" s="508"/>
      <c r="H609" s="508"/>
      <c r="I609" s="508"/>
      <c r="J609" s="509"/>
      <c r="K609" s="506"/>
      <c r="L609" s="507"/>
      <c r="M609" s="507"/>
      <c r="N609" s="507"/>
      <c r="O609" s="506"/>
      <c r="P609" s="506"/>
      <c r="Q609" s="507"/>
      <c r="R609" s="507"/>
      <c r="S609" s="515"/>
      <c r="T609" s="506"/>
      <c r="U609" s="527"/>
    </row>
    <row r="610" spans="1:21">
      <c r="A610" s="479"/>
      <c r="B610" s="4"/>
      <c r="C610" s="506"/>
      <c r="D610" s="508"/>
      <c r="E610" s="508"/>
      <c r="F610" s="508"/>
      <c r="G610" s="508"/>
      <c r="H610" s="508"/>
      <c r="I610" s="508"/>
      <c r="J610" s="509"/>
      <c r="K610" s="506"/>
      <c r="L610" s="507"/>
      <c r="M610" s="507"/>
      <c r="N610" s="507"/>
      <c r="O610" s="506"/>
      <c r="P610" s="506"/>
      <c r="Q610" s="507"/>
      <c r="R610" s="507"/>
      <c r="S610" s="515"/>
      <c r="T610" s="506"/>
      <c r="U610" s="527"/>
    </row>
    <row r="611" spans="1:21">
      <c r="A611" s="479"/>
      <c r="B611" s="4"/>
      <c r="C611" s="506"/>
      <c r="D611" s="508"/>
      <c r="E611" s="508"/>
      <c r="F611" s="508"/>
      <c r="G611" s="508"/>
      <c r="H611" s="508"/>
      <c r="I611" s="508"/>
      <c r="J611" s="509"/>
      <c r="K611" s="506"/>
      <c r="L611" s="507"/>
      <c r="M611" s="507"/>
      <c r="N611" s="507"/>
      <c r="O611" s="506"/>
      <c r="P611" s="506"/>
      <c r="Q611" s="507"/>
      <c r="R611" s="507"/>
      <c r="S611" s="515"/>
      <c r="T611" s="506"/>
      <c r="U611" s="527"/>
    </row>
    <row r="612" spans="1:21">
      <c r="A612" s="479"/>
      <c r="B612" s="4"/>
      <c r="C612" s="506"/>
      <c r="D612" s="508"/>
      <c r="E612" s="508"/>
      <c r="F612" s="508"/>
      <c r="G612" s="508"/>
      <c r="H612" s="508"/>
      <c r="I612" s="508"/>
      <c r="J612" s="509"/>
      <c r="K612" s="506"/>
      <c r="L612" s="507"/>
      <c r="M612" s="507"/>
      <c r="N612" s="507"/>
      <c r="O612" s="506"/>
      <c r="P612" s="506"/>
      <c r="Q612" s="507"/>
      <c r="R612" s="507"/>
      <c r="S612" s="515"/>
      <c r="T612" s="506"/>
      <c r="U612" s="527"/>
    </row>
    <row r="613" spans="1:21">
      <c r="A613" s="479"/>
      <c r="B613" s="4"/>
      <c r="C613" s="506"/>
      <c r="D613" s="508"/>
      <c r="E613" s="508"/>
      <c r="F613" s="508"/>
      <c r="G613" s="508"/>
      <c r="H613" s="508"/>
      <c r="I613" s="508"/>
      <c r="J613" s="509"/>
      <c r="K613" s="506"/>
      <c r="L613" s="507"/>
      <c r="M613" s="507"/>
      <c r="N613" s="507"/>
      <c r="O613" s="506"/>
      <c r="P613" s="506"/>
      <c r="Q613" s="507"/>
      <c r="R613" s="507"/>
      <c r="S613" s="515"/>
      <c r="T613" s="506"/>
      <c r="U613" s="527"/>
    </row>
    <row r="614" spans="1:21">
      <c r="A614" s="479"/>
      <c r="B614" s="4"/>
      <c r="C614" s="506"/>
      <c r="D614" s="508"/>
      <c r="E614" s="508"/>
      <c r="F614" s="508"/>
      <c r="G614" s="508"/>
      <c r="H614" s="508"/>
      <c r="I614" s="508"/>
      <c r="J614" s="509"/>
      <c r="K614" s="506"/>
      <c r="L614" s="507"/>
      <c r="M614" s="507"/>
      <c r="N614" s="507"/>
      <c r="O614" s="506"/>
      <c r="P614" s="506"/>
      <c r="Q614" s="507"/>
      <c r="R614" s="507"/>
      <c r="S614" s="515"/>
      <c r="T614" s="506"/>
      <c r="U614" s="527"/>
    </row>
    <row r="615" spans="1:21">
      <c r="A615" s="479"/>
      <c r="B615" s="4"/>
      <c r="C615" s="506"/>
      <c r="D615" s="508"/>
      <c r="E615" s="508"/>
      <c r="F615" s="508"/>
      <c r="G615" s="508"/>
      <c r="H615" s="508"/>
      <c r="I615" s="508"/>
      <c r="J615" s="509"/>
      <c r="K615" s="506"/>
      <c r="L615" s="507"/>
      <c r="M615" s="507"/>
      <c r="N615" s="507"/>
      <c r="O615" s="506"/>
      <c r="P615" s="506"/>
      <c r="Q615" s="507"/>
      <c r="R615" s="507"/>
      <c r="S615" s="515"/>
      <c r="T615" s="506"/>
      <c r="U615" s="527"/>
    </row>
    <row r="616" spans="1:21">
      <c r="A616" s="479"/>
      <c r="B616" s="4"/>
      <c r="C616" s="506"/>
      <c r="D616" s="508"/>
      <c r="E616" s="508"/>
      <c r="F616" s="508"/>
      <c r="G616" s="508"/>
      <c r="H616" s="508"/>
      <c r="I616" s="508"/>
      <c r="J616" s="509"/>
      <c r="K616" s="506"/>
      <c r="L616" s="507"/>
      <c r="M616" s="507"/>
      <c r="N616" s="507"/>
      <c r="O616" s="506"/>
      <c r="P616" s="506"/>
      <c r="Q616" s="507"/>
      <c r="R616" s="507"/>
      <c r="S616" s="515"/>
      <c r="T616" s="506"/>
      <c r="U616" s="527"/>
    </row>
    <row r="617" spans="1:21">
      <c r="A617" s="479"/>
      <c r="B617" s="4"/>
      <c r="C617" s="506"/>
      <c r="D617" s="508"/>
      <c r="E617" s="508"/>
      <c r="F617" s="508"/>
      <c r="G617" s="508"/>
      <c r="H617" s="508"/>
      <c r="I617" s="508"/>
      <c r="J617" s="509"/>
      <c r="K617" s="506"/>
      <c r="L617" s="507"/>
      <c r="M617" s="507"/>
      <c r="N617" s="507"/>
      <c r="O617" s="506"/>
      <c r="P617" s="506"/>
      <c r="Q617" s="507"/>
      <c r="R617" s="507"/>
      <c r="S617" s="515"/>
      <c r="T617" s="506"/>
      <c r="U617" s="527"/>
    </row>
    <row r="618" spans="1:21">
      <c r="A618" s="470"/>
      <c r="B618" s="473"/>
      <c r="C618" s="463"/>
      <c r="D618" s="464"/>
      <c r="E618" s="464"/>
      <c r="F618" s="464"/>
      <c r="G618" s="464"/>
      <c r="H618" s="464"/>
      <c r="I618" s="464"/>
      <c r="J618" s="466"/>
      <c r="K618" s="463"/>
      <c r="L618" s="464"/>
      <c r="M618" s="464"/>
      <c r="N618" s="464"/>
      <c r="O618" s="463"/>
      <c r="P618" s="463"/>
      <c r="Q618" s="464"/>
      <c r="R618" s="464"/>
      <c r="S618" s="463"/>
      <c r="T618" s="463"/>
      <c r="U618" s="465"/>
    </row>
    <row r="619" spans="1:21">
      <c r="A619" s="470"/>
      <c r="B619" s="473"/>
      <c r="C619" s="463"/>
      <c r="D619" s="464"/>
      <c r="E619" s="464"/>
      <c r="F619" s="464"/>
      <c r="G619" s="464"/>
      <c r="H619" s="464"/>
      <c r="I619" s="464"/>
      <c r="J619" s="466"/>
      <c r="K619" s="463"/>
      <c r="L619" s="464"/>
      <c r="M619" s="464"/>
      <c r="N619" s="464"/>
      <c r="O619" s="463"/>
      <c r="P619" s="463"/>
      <c r="Q619" s="464"/>
      <c r="R619" s="464"/>
      <c r="S619" s="463"/>
      <c r="T619" s="463"/>
      <c r="U619" s="465"/>
    </row>
    <row r="620" spans="1:21">
      <c r="A620" s="470"/>
      <c r="B620" s="473"/>
      <c r="C620" s="532"/>
      <c r="D620" s="533"/>
      <c r="E620" s="533"/>
      <c r="F620" s="533"/>
      <c r="G620" s="533"/>
      <c r="H620" s="533"/>
      <c r="I620" s="533"/>
      <c r="J620" s="534"/>
      <c r="K620" s="532"/>
      <c r="L620" s="533"/>
      <c r="M620" s="533"/>
      <c r="N620" s="533"/>
      <c r="O620" s="532"/>
      <c r="P620" s="532"/>
      <c r="Q620" s="533"/>
      <c r="R620" s="533"/>
      <c r="S620" s="532"/>
      <c r="T620" s="532"/>
      <c r="U620" s="535"/>
    </row>
    <row r="621" spans="1:21">
      <c r="A621" s="470"/>
      <c r="B621" s="473"/>
      <c r="C621" s="463"/>
      <c r="D621" s="464"/>
      <c r="E621" s="464"/>
      <c r="F621" s="464"/>
      <c r="G621" s="464"/>
      <c r="H621" s="464"/>
      <c r="I621" s="464"/>
      <c r="J621" s="466"/>
      <c r="K621" s="463"/>
      <c r="L621" s="464"/>
      <c r="M621" s="464"/>
      <c r="N621" s="464"/>
      <c r="O621" s="463"/>
      <c r="P621" s="463"/>
      <c r="Q621" s="464"/>
      <c r="R621" s="464"/>
      <c r="S621" s="463"/>
      <c r="T621" s="463"/>
      <c r="U621" s="465"/>
    </row>
    <row r="622" spans="1:21">
      <c r="A622" s="470"/>
      <c r="B622" s="473"/>
      <c r="C622" s="463"/>
      <c r="D622" s="464"/>
      <c r="E622" s="464"/>
      <c r="F622" s="464"/>
      <c r="G622" s="464"/>
      <c r="H622" s="464"/>
      <c r="I622" s="464"/>
      <c r="J622" s="466"/>
      <c r="K622" s="463"/>
      <c r="L622" s="464"/>
      <c r="M622" s="464"/>
      <c r="N622" s="464"/>
      <c r="O622" s="463"/>
      <c r="P622" s="463"/>
      <c r="Q622" s="464"/>
      <c r="R622" s="464"/>
      <c r="S622" s="463"/>
      <c r="T622" s="463"/>
      <c r="U622" s="465"/>
    </row>
    <row r="623" spans="1:21">
      <c r="A623" s="470"/>
      <c r="B623" s="473"/>
      <c r="C623" s="467"/>
      <c r="D623" s="468"/>
      <c r="E623" s="468"/>
      <c r="F623" s="468"/>
      <c r="G623" s="468"/>
      <c r="H623" s="468"/>
      <c r="I623" s="468"/>
      <c r="J623" s="474"/>
      <c r="K623" s="467"/>
      <c r="L623" s="468"/>
      <c r="M623" s="468"/>
      <c r="N623" s="468"/>
      <c r="O623" s="467"/>
      <c r="P623" s="467"/>
      <c r="Q623" s="468"/>
      <c r="R623" s="468"/>
      <c r="S623" s="467"/>
      <c r="T623" s="467"/>
      <c r="U623" s="469"/>
    </row>
    <row r="624" spans="1:21">
      <c r="A624" s="470"/>
      <c r="B624" s="473"/>
      <c r="C624" s="463"/>
      <c r="D624" s="464"/>
      <c r="E624" s="464"/>
      <c r="F624" s="464"/>
      <c r="G624" s="464"/>
      <c r="H624" s="464"/>
      <c r="I624" s="464"/>
      <c r="J624" s="466"/>
      <c r="K624" s="463"/>
      <c r="L624" s="464"/>
      <c r="M624" s="464"/>
      <c r="N624" s="464"/>
      <c r="O624" s="463"/>
      <c r="P624" s="463"/>
      <c r="Q624" s="464"/>
      <c r="R624" s="464"/>
      <c r="S624" s="463"/>
      <c r="T624" s="463"/>
      <c r="U624" s="465"/>
    </row>
    <row r="625" spans="1:21">
      <c r="A625" s="470"/>
      <c r="B625" s="473"/>
      <c r="C625" s="463"/>
      <c r="D625" s="464"/>
      <c r="E625" s="464"/>
      <c r="F625" s="464"/>
      <c r="G625" s="464"/>
      <c r="H625" s="464"/>
      <c r="I625" s="464"/>
      <c r="J625" s="466"/>
      <c r="K625" s="463"/>
      <c r="L625" s="464"/>
      <c r="M625" s="464"/>
      <c r="N625" s="464"/>
      <c r="O625" s="463"/>
      <c r="P625" s="463"/>
      <c r="Q625" s="464"/>
      <c r="R625" s="464"/>
      <c r="S625" s="463"/>
      <c r="T625" s="463"/>
      <c r="U625" s="465"/>
    </row>
    <row r="626" spans="1:21">
      <c r="A626" s="470"/>
      <c r="B626" s="473"/>
      <c r="C626" s="467"/>
      <c r="D626" s="468"/>
      <c r="E626" s="468"/>
      <c r="F626" s="468"/>
      <c r="G626" s="468"/>
      <c r="H626" s="468"/>
      <c r="I626" s="468"/>
      <c r="J626" s="474"/>
      <c r="K626" s="467"/>
      <c r="L626" s="468"/>
      <c r="M626" s="468"/>
      <c r="N626" s="468"/>
      <c r="O626" s="467"/>
      <c r="P626" s="467"/>
      <c r="Q626" s="468"/>
      <c r="R626" s="468"/>
      <c r="S626" s="467"/>
      <c r="T626" s="467"/>
      <c r="U626" s="469"/>
    </row>
    <row r="627" spans="1:21">
      <c r="A627" s="470"/>
      <c r="B627" s="473"/>
      <c r="C627" s="463"/>
      <c r="D627" s="464"/>
      <c r="E627" s="464"/>
      <c r="F627" s="464"/>
      <c r="G627" s="464"/>
      <c r="H627" s="464"/>
      <c r="I627" s="464"/>
      <c r="J627" s="466"/>
      <c r="K627" s="463"/>
      <c r="L627" s="464"/>
      <c r="M627" s="464"/>
      <c r="N627" s="464"/>
      <c r="O627" s="463"/>
      <c r="P627" s="463"/>
      <c r="Q627" s="464"/>
      <c r="R627" s="464"/>
      <c r="S627" s="463"/>
      <c r="T627" s="463"/>
      <c r="U627" s="465"/>
    </row>
    <row r="628" spans="1:21">
      <c r="A628" s="470"/>
      <c r="B628" s="473"/>
      <c r="C628" s="463"/>
      <c r="D628" s="464"/>
      <c r="E628" s="464"/>
      <c r="F628" s="464"/>
      <c r="G628" s="464"/>
      <c r="H628" s="464"/>
      <c r="I628" s="464"/>
      <c r="J628" s="466"/>
      <c r="K628" s="463"/>
      <c r="L628" s="464"/>
      <c r="M628" s="464"/>
      <c r="N628" s="464"/>
      <c r="O628" s="463"/>
      <c r="P628" s="463"/>
      <c r="Q628" s="464"/>
      <c r="R628" s="464"/>
      <c r="S628" s="463"/>
      <c r="T628" s="463"/>
      <c r="U628" s="465"/>
    </row>
    <row r="629" spans="1:21">
      <c r="A629" s="470"/>
      <c r="B629" s="473"/>
      <c r="C629" s="467"/>
      <c r="D629" s="468"/>
      <c r="E629" s="468"/>
      <c r="F629" s="468"/>
      <c r="G629" s="468"/>
      <c r="H629" s="468"/>
      <c r="I629" s="468"/>
      <c r="J629" s="474"/>
      <c r="K629" s="467"/>
      <c r="L629" s="468"/>
      <c r="M629" s="468"/>
      <c r="N629" s="468"/>
      <c r="O629" s="467"/>
      <c r="P629" s="467"/>
      <c r="Q629" s="468"/>
      <c r="R629" s="468"/>
      <c r="S629" s="467"/>
      <c r="T629" s="467"/>
      <c r="U629" s="469"/>
    </row>
    <row r="630" spans="1:21">
      <c r="A630" s="470"/>
      <c r="B630" s="473"/>
      <c r="C630" s="463"/>
      <c r="D630" s="464"/>
      <c r="E630" s="464"/>
      <c r="F630" s="464"/>
      <c r="G630" s="464"/>
      <c r="H630" s="464"/>
      <c r="I630" s="464"/>
      <c r="J630" s="466"/>
      <c r="K630" s="463"/>
      <c r="L630" s="464"/>
      <c r="M630" s="464"/>
      <c r="N630" s="464"/>
      <c r="O630" s="463"/>
      <c r="P630" s="463"/>
      <c r="Q630" s="464"/>
      <c r="R630" s="464"/>
      <c r="S630" s="463"/>
      <c r="T630" s="463"/>
      <c r="U630" s="465"/>
    </row>
    <row r="631" spans="1:21">
      <c r="A631" s="470"/>
      <c r="B631" s="473"/>
      <c r="C631" s="463"/>
      <c r="D631" s="464"/>
      <c r="E631" s="464"/>
      <c r="F631" s="464"/>
      <c r="G631" s="464"/>
      <c r="H631" s="464"/>
      <c r="I631" s="464"/>
      <c r="J631" s="466"/>
      <c r="K631" s="463"/>
      <c r="L631" s="464"/>
      <c r="M631" s="464"/>
      <c r="N631" s="464"/>
      <c r="O631" s="463"/>
      <c r="P631" s="463"/>
      <c r="Q631" s="464"/>
      <c r="R631" s="464"/>
      <c r="S631" s="463"/>
      <c r="T631" s="463"/>
      <c r="U631" s="465"/>
    </row>
    <row r="632" spans="1:21">
      <c r="A632" s="470"/>
      <c r="B632" s="473"/>
      <c r="C632" s="467"/>
      <c r="D632" s="468"/>
      <c r="E632" s="468"/>
      <c r="F632" s="468"/>
      <c r="G632" s="468"/>
      <c r="H632" s="468"/>
      <c r="I632" s="468"/>
      <c r="J632" s="474"/>
      <c r="K632" s="467"/>
      <c r="L632" s="468"/>
      <c r="M632" s="468"/>
      <c r="N632" s="468"/>
      <c r="O632" s="467"/>
      <c r="P632" s="467"/>
      <c r="Q632" s="468"/>
      <c r="R632" s="468"/>
      <c r="S632" s="467"/>
      <c r="T632" s="467"/>
      <c r="U632" s="469"/>
    </row>
    <row r="633" spans="1:21">
      <c r="A633" s="470"/>
      <c r="B633" s="473"/>
      <c r="C633" s="463"/>
      <c r="D633" s="464"/>
      <c r="E633" s="464"/>
      <c r="F633" s="464"/>
      <c r="G633" s="464"/>
      <c r="H633" s="464"/>
      <c r="I633" s="464"/>
      <c r="J633" s="466"/>
      <c r="K633" s="463"/>
      <c r="L633" s="464"/>
      <c r="M633" s="464"/>
      <c r="N633" s="464"/>
      <c r="O633" s="463"/>
      <c r="P633" s="463"/>
      <c r="Q633" s="464"/>
      <c r="R633" s="464"/>
      <c r="S633" s="463"/>
      <c r="T633" s="463"/>
      <c r="U633" s="465"/>
    </row>
    <row r="634" spans="1:21">
      <c r="A634" s="470"/>
      <c r="B634" s="473"/>
      <c r="C634" s="463"/>
      <c r="D634" s="464"/>
      <c r="E634" s="464"/>
      <c r="F634" s="464"/>
      <c r="G634" s="464"/>
      <c r="H634" s="464"/>
      <c r="I634" s="464"/>
      <c r="J634" s="466"/>
      <c r="K634" s="463"/>
      <c r="L634" s="464"/>
      <c r="M634" s="464"/>
      <c r="N634" s="464"/>
      <c r="O634" s="463"/>
      <c r="P634" s="463"/>
      <c r="Q634" s="464"/>
      <c r="R634" s="464"/>
      <c r="S634" s="463"/>
      <c r="T634" s="463"/>
      <c r="U634" s="465"/>
    </row>
    <row r="635" spans="1:21">
      <c r="A635" s="470"/>
      <c r="B635" s="473"/>
      <c r="C635" s="467"/>
      <c r="D635" s="468"/>
      <c r="E635" s="468"/>
      <c r="F635" s="468"/>
      <c r="G635" s="468"/>
      <c r="H635" s="468"/>
      <c r="I635" s="468"/>
      <c r="J635" s="474"/>
      <c r="K635" s="467"/>
      <c r="L635" s="468"/>
      <c r="M635" s="468"/>
      <c r="N635" s="468"/>
      <c r="O635" s="467"/>
      <c r="P635" s="467"/>
      <c r="Q635" s="468"/>
      <c r="R635" s="468"/>
      <c r="S635" s="467"/>
      <c r="T635" s="467"/>
      <c r="U635" s="469"/>
    </row>
    <row r="636" spans="1:21">
      <c r="A636" s="470"/>
      <c r="B636" s="473"/>
      <c r="C636" s="463"/>
      <c r="D636" s="464"/>
      <c r="E636" s="464"/>
      <c r="F636" s="464"/>
      <c r="G636" s="464"/>
      <c r="H636" s="464"/>
      <c r="I636" s="464"/>
      <c r="J636" s="466"/>
      <c r="K636" s="463"/>
      <c r="L636" s="464"/>
      <c r="M636" s="464"/>
      <c r="N636" s="464"/>
      <c r="O636" s="463"/>
      <c r="P636" s="463"/>
      <c r="Q636" s="464"/>
      <c r="R636" s="464"/>
      <c r="S636" s="463"/>
      <c r="T636" s="463"/>
      <c r="U636" s="465"/>
    </row>
    <row r="637" spans="1:21">
      <c r="A637" s="470"/>
      <c r="B637" s="473"/>
      <c r="C637" s="463"/>
      <c r="D637" s="464"/>
      <c r="E637" s="464"/>
      <c r="F637" s="464"/>
      <c r="G637" s="464"/>
      <c r="H637" s="464"/>
      <c r="I637" s="464"/>
      <c r="J637" s="466"/>
      <c r="K637" s="463"/>
      <c r="L637" s="464"/>
      <c r="M637" s="464"/>
      <c r="N637" s="464"/>
      <c r="O637" s="463"/>
      <c r="P637" s="463"/>
      <c r="Q637" s="464"/>
      <c r="R637" s="464"/>
      <c r="S637" s="463"/>
      <c r="T637" s="463"/>
      <c r="U637" s="465"/>
    </row>
    <row r="638" spans="1:21">
      <c r="A638" s="470"/>
      <c r="B638" s="473"/>
      <c r="C638" s="467"/>
      <c r="D638" s="468"/>
      <c r="E638" s="468"/>
      <c r="F638" s="468"/>
      <c r="G638" s="468"/>
      <c r="H638" s="468"/>
      <c r="I638" s="468"/>
      <c r="J638" s="474"/>
      <c r="K638" s="467"/>
      <c r="L638" s="468"/>
      <c r="M638" s="468"/>
      <c r="N638" s="468"/>
      <c r="O638" s="467"/>
      <c r="P638" s="467"/>
      <c r="Q638" s="468"/>
      <c r="R638" s="468"/>
      <c r="S638" s="467"/>
      <c r="T638" s="467"/>
      <c r="U638" s="469"/>
    </row>
    <row r="639" spans="1:21">
      <c r="A639" s="470"/>
      <c r="B639" s="473"/>
      <c r="C639" s="463"/>
      <c r="D639" s="464"/>
      <c r="E639" s="464"/>
      <c r="F639" s="464"/>
      <c r="G639" s="464"/>
      <c r="H639" s="464"/>
      <c r="I639" s="464"/>
      <c r="J639" s="466"/>
      <c r="K639" s="463"/>
      <c r="L639" s="464"/>
      <c r="M639" s="464"/>
      <c r="N639" s="464"/>
      <c r="O639" s="463"/>
      <c r="P639" s="463"/>
      <c r="Q639" s="464"/>
      <c r="R639" s="464"/>
      <c r="S639" s="463"/>
      <c r="T639" s="463"/>
      <c r="U639" s="465"/>
    </row>
    <row r="640" spans="1:21">
      <c r="A640" s="470"/>
      <c r="B640" s="473"/>
      <c r="C640" s="463"/>
      <c r="D640" s="464"/>
      <c r="E640" s="464"/>
      <c r="F640" s="464"/>
      <c r="G640" s="464"/>
      <c r="H640" s="464"/>
      <c r="I640" s="464"/>
      <c r="J640" s="466"/>
      <c r="K640" s="463"/>
      <c r="L640" s="464"/>
      <c r="M640" s="464"/>
      <c r="N640" s="464"/>
      <c r="O640" s="463"/>
      <c r="P640" s="463"/>
      <c r="Q640" s="464"/>
      <c r="R640" s="464"/>
      <c r="S640" s="463"/>
      <c r="T640" s="463"/>
      <c r="U640" s="465"/>
    </row>
    <row r="641" spans="1:21">
      <c r="A641" s="470"/>
      <c r="B641" s="473"/>
      <c r="C641" s="467"/>
      <c r="D641" s="468"/>
      <c r="E641" s="468"/>
      <c r="F641" s="468"/>
      <c r="G641" s="468"/>
      <c r="H641" s="468"/>
      <c r="I641" s="468"/>
      <c r="J641" s="474"/>
      <c r="K641" s="467"/>
      <c r="L641" s="468"/>
      <c r="M641" s="468"/>
      <c r="N641" s="468"/>
      <c r="O641" s="467"/>
      <c r="P641" s="467"/>
      <c r="Q641" s="468"/>
      <c r="R641" s="468"/>
      <c r="S641" s="467"/>
      <c r="T641" s="467"/>
      <c r="U641" s="469"/>
    </row>
    <row r="642" spans="1:21">
      <c r="A642" s="470"/>
      <c r="B642" s="473"/>
      <c r="C642" s="463"/>
      <c r="D642" s="464"/>
      <c r="E642" s="464"/>
      <c r="F642" s="464"/>
      <c r="G642" s="464"/>
      <c r="H642" s="464"/>
      <c r="I642" s="464"/>
      <c r="J642" s="466"/>
      <c r="K642" s="463"/>
      <c r="L642" s="464"/>
      <c r="M642" s="464"/>
      <c r="N642" s="464"/>
      <c r="O642" s="463"/>
      <c r="P642" s="463"/>
      <c r="Q642" s="464"/>
      <c r="R642" s="464"/>
      <c r="S642" s="463"/>
      <c r="T642" s="463"/>
      <c r="U642" s="465"/>
    </row>
    <row r="643" spans="1:21">
      <c r="A643" s="470"/>
      <c r="B643" s="473"/>
      <c r="C643" s="463"/>
      <c r="D643" s="464"/>
      <c r="E643" s="464"/>
      <c r="F643" s="464"/>
      <c r="G643" s="464"/>
      <c r="H643" s="464"/>
      <c r="I643" s="464"/>
      <c r="J643" s="466"/>
      <c r="K643" s="463"/>
      <c r="L643" s="464"/>
      <c r="M643" s="464"/>
      <c r="N643" s="464"/>
      <c r="O643" s="463"/>
      <c r="P643" s="463"/>
      <c r="Q643" s="464"/>
      <c r="R643" s="464"/>
      <c r="S643" s="463"/>
      <c r="T643" s="463"/>
      <c r="U643" s="465"/>
    </row>
    <row r="644" spans="1:21">
      <c r="A644" s="470"/>
      <c r="B644" s="473"/>
      <c r="C644" s="467"/>
      <c r="D644" s="482"/>
      <c r="E644" s="468"/>
      <c r="F644" s="468"/>
      <c r="G644" s="468"/>
      <c r="H644" s="468"/>
      <c r="I644" s="468"/>
      <c r="J644" s="474"/>
      <c r="K644" s="467"/>
      <c r="L644" s="468"/>
      <c r="M644" s="468"/>
      <c r="N644" s="468"/>
      <c r="O644" s="467"/>
      <c r="P644" s="467"/>
      <c r="Q644" s="468"/>
      <c r="R644" s="468"/>
      <c r="S644" s="467"/>
      <c r="T644" s="467"/>
      <c r="U644" s="469"/>
    </row>
    <row r="645" spans="1:21">
      <c r="A645" s="470"/>
      <c r="B645" s="473"/>
      <c r="C645" s="463"/>
      <c r="D645" s="464"/>
      <c r="E645" s="464"/>
      <c r="F645" s="464"/>
      <c r="G645" s="464"/>
      <c r="H645" s="464"/>
      <c r="I645" s="464"/>
      <c r="J645" s="466"/>
      <c r="K645" s="463"/>
      <c r="L645" s="464"/>
      <c r="M645" s="464"/>
      <c r="N645" s="464"/>
      <c r="O645" s="463"/>
      <c r="P645" s="463"/>
      <c r="Q645" s="464"/>
      <c r="R645" s="464"/>
      <c r="S645" s="463"/>
      <c r="T645" s="463"/>
      <c r="U645" s="465"/>
    </row>
    <row r="646" spans="1:21">
      <c r="A646" s="470"/>
      <c r="B646" s="473"/>
      <c r="C646" s="463"/>
      <c r="D646" s="464"/>
      <c r="E646" s="464"/>
      <c r="F646" s="464"/>
      <c r="G646" s="464"/>
      <c r="H646" s="464"/>
      <c r="I646" s="464"/>
      <c r="J646" s="466"/>
      <c r="K646" s="463"/>
      <c r="L646" s="464"/>
      <c r="M646" s="464"/>
      <c r="N646" s="464"/>
      <c r="O646" s="463"/>
      <c r="P646" s="463"/>
      <c r="Q646" s="464"/>
      <c r="R646" s="464"/>
      <c r="S646" s="463"/>
      <c r="T646" s="463"/>
      <c r="U646" s="465"/>
    </row>
    <row r="647" spans="1:21">
      <c r="A647" s="470"/>
      <c r="B647" s="473"/>
      <c r="C647" s="467"/>
      <c r="D647" s="468"/>
      <c r="E647" s="468"/>
      <c r="F647" s="468"/>
      <c r="G647" s="468"/>
      <c r="H647" s="468"/>
      <c r="I647" s="468"/>
      <c r="J647" s="474"/>
      <c r="K647" s="467"/>
      <c r="L647" s="468"/>
      <c r="M647" s="468"/>
      <c r="N647" s="468"/>
      <c r="O647" s="467"/>
      <c r="P647" s="467"/>
      <c r="Q647" s="468"/>
      <c r="R647" s="468"/>
      <c r="S647" s="467"/>
      <c r="T647" s="467"/>
      <c r="U647" s="469"/>
    </row>
    <row r="648" spans="1:21">
      <c r="A648" s="470"/>
      <c r="B648" s="473"/>
      <c r="C648" s="463"/>
      <c r="D648" s="464"/>
      <c r="E648" s="464"/>
      <c r="F648" s="464"/>
      <c r="G648" s="464"/>
      <c r="H648" s="464"/>
      <c r="I648" s="464"/>
      <c r="J648" s="466"/>
      <c r="K648" s="463"/>
      <c r="L648" s="464"/>
      <c r="M648" s="464"/>
      <c r="N648" s="464"/>
      <c r="O648" s="463"/>
      <c r="P648" s="463"/>
      <c r="Q648" s="464"/>
      <c r="R648" s="464"/>
      <c r="S648" s="463"/>
      <c r="T648" s="463"/>
      <c r="U648" s="465"/>
    </row>
    <row r="649" spans="1:21">
      <c r="A649" s="470"/>
      <c r="B649" s="473"/>
      <c r="C649" s="463"/>
      <c r="D649" s="464"/>
      <c r="E649" s="464"/>
      <c r="F649" s="464"/>
      <c r="G649" s="464"/>
      <c r="H649" s="464"/>
      <c r="I649" s="464"/>
      <c r="J649" s="466"/>
      <c r="K649" s="463"/>
      <c r="L649" s="464"/>
      <c r="M649" s="464"/>
      <c r="N649" s="464"/>
      <c r="O649" s="463"/>
      <c r="P649" s="463"/>
      <c r="Q649" s="464"/>
      <c r="R649" s="464"/>
      <c r="S649" s="463"/>
      <c r="T649" s="463"/>
      <c r="U649" s="465"/>
    </row>
    <row r="650" spans="1:21">
      <c r="A650" s="470"/>
      <c r="B650" s="473"/>
      <c r="C650" s="467"/>
      <c r="D650" s="468"/>
      <c r="E650" s="468"/>
      <c r="F650" s="468"/>
      <c r="G650" s="468"/>
      <c r="H650" s="468"/>
      <c r="I650" s="468"/>
      <c r="J650" s="474"/>
      <c r="K650" s="467"/>
      <c r="L650" s="468"/>
      <c r="M650" s="468"/>
      <c r="N650" s="468"/>
      <c r="O650" s="467"/>
      <c r="P650" s="467"/>
      <c r="Q650" s="468"/>
      <c r="R650" s="468"/>
      <c r="S650" s="467"/>
      <c r="T650" s="467"/>
      <c r="U650" s="469"/>
    </row>
    <row r="651" spans="1:21">
      <c r="A651" s="470"/>
      <c r="B651" s="473"/>
      <c r="C651" s="463"/>
      <c r="D651" s="464"/>
      <c r="E651" s="464"/>
      <c r="F651" s="464"/>
      <c r="G651" s="464"/>
      <c r="H651" s="464"/>
      <c r="I651" s="464"/>
      <c r="J651" s="466"/>
      <c r="K651" s="463"/>
      <c r="L651" s="464"/>
      <c r="M651" s="464"/>
      <c r="N651" s="464"/>
      <c r="O651" s="463"/>
      <c r="P651" s="463"/>
      <c r="Q651" s="464"/>
      <c r="R651" s="464"/>
      <c r="S651" s="463"/>
      <c r="T651" s="463"/>
      <c r="U651" s="465"/>
    </row>
    <row r="652" spans="1:21">
      <c r="A652" s="470"/>
      <c r="B652" s="473"/>
      <c r="C652" s="463"/>
      <c r="D652" s="464"/>
      <c r="E652" s="464"/>
      <c r="F652" s="464"/>
      <c r="G652" s="464"/>
      <c r="H652" s="464"/>
      <c r="I652" s="464"/>
      <c r="J652" s="466"/>
      <c r="K652" s="463"/>
      <c r="L652" s="464"/>
      <c r="M652" s="464"/>
      <c r="N652" s="464"/>
      <c r="O652" s="463"/>
      <c r="P652" s="463"/>
      <c r="Q652" s="464"/>
      <c r="R652" s="464"/>
      <c r="S652" s="463"/>
      <c r="T652" s="463"/>
      <c r="U652" s="465"/>
    </row>
    <row r="653" spans="1:21">
      <c r="A653" s="470"/>
      <c r="B653" s="473"/>
      <c r="C653" s="470"/>
      <c r="D653" s="471"/>
      <c r="E653" s="471"/>
      <c r="F653" s="471"/>
      <c r="G653" s="471"/>
      <c r="H653" s="471"/>
      <c r="I653" s="471"/>
      <c r="J653" s="475"/>
      <c r="K653" s="470"/>
      <c r="L653" s="471"/>
      <c r="M653" s="471"/>
      <c r="N653" s="471"/>
      <c r="O653" s="470"/>
      <c r="P653" s="470"/>
      <c r="Q653" s="471"/>
      <c r="R653" s="471"/>
      <c r="S653" s="470"/>
      <c r="T653" s="470"/>
      <c r="U653" s="472"/>
    </row>
  </sheetData>
  <conditionalFormatting sqref="J653 O653 S653 J620 O620 S620 J623 O623 S623 J626 O626 S626 J629 O629 S629 J632 O632 S632 J635 O635 S635 J638 O638 S638 J641 O641 S641 J644 O644 S644 J647 O647 S647 J650 O650 S650">
    <cfRule type="cellIs" dxfId="153" priority="154"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52" priority="153" stopIfTrue="1" operator="lessThanOrEqual">
      <formula>-15</formula>
    </cfRule>
  </conditionalFormatting>
  <conditionalFormatting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1" priority="152" stopIfTrue="1" operator="greaterThanOrEqual">
      <formula>5</formula>
    </cfRule>
  </conditionalFormatting>
  <conditionalFormatting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50" priority="151" stopIfTrue="1" operator="lessThanOrEqual">
      <formula>-5</formula>
    </cfRule>
  </conditionalFormatting>
  <conditionalFormatting sqref="C653:U653 C620:U620 C623:U623 C626:U626 C629:U629 C632:U632 C635:U635 C638:U638 C641:U641 C644:U644 C647:U647 C650:U650">
    <cfRule type="cellIs" dxfId="149" priority="149" stopIfTrue="1" operator="greaterThanOrEqual">
      <formula>15</formula>
    </cfRule>
    <cfRule type="cellIs" dxfId="148" priority="150"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147" priority="147" stopIfTrue="1" operator="greaterThanOrEqual">
      <formula>5</formula>
    </cfRule>
    <cfRule type="cellIs" dxfId="146" priority="148" stopIfTrue="1" operator="lessThanOrEqual">
      <formula>-5</formula>
    </cfRule>
  </conditionalFormatting>
  <conditionalFormatting sqref="C653:U653 C620:U620 C623:U623 C626:U626 C629:U629 C632:U632 C635:U635 C638:U638 C641:U641 C644:U644 C647:U647 C650:U650">
    <cfRule type="cellIs" dxfId="145" priority="145" stopIfTrue="1" operator="greaterThanOrEqual">
      <formula>15</formula>
    </cfRule>
    <cfRule type="cellIs" dxfId="144" priority="146"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143" priority="143" stopIfTrue="1" operator="greaterThanOrEqual">
      <formula>5</formula>
    </cfRule>
    <cfRule type="cellIs" dxfId="142" priority="144" stopIfTrue="1" operator="lessThanOrEqual">
      <formula>-5</formula>
    </cfRule>
  </conditionalFormatting>
  <conditionalFormatting sqref="C653:U653 C620:U620 C623:U623 C626:U626 C629:U629 C632:U632 C635:U635 C638:U638 C641:U641 C644:U644 C647:U647 C650:U650">
    <cfRule type="cellIs" dxfId="141" priority="141" stopIfTrue="1" operator="greaterThanOrEqual">
      <formula>15</formula>
    </cfRule>
    <cfRule type="cellIs" dxfId="140" priority="142"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139" priority="139" stopIfTrue="1" operator="greaterThanOrEqual">
      <formula>5</formula>
    </cfRule>
    <cfRule type="cellIs" dxfId="138" priority="140" stopIfTrue="1" operator="lessThanOrEqual">
      <formula>-5</formula>
    </cfRule>
  </conditionalFormatting>
  <conditionalFormatting sqref="C653:U653 C620:U620 C623:U623 C626:U626 C629:U629 C632:U632 C635:U635 C638:U638 C641:U641 C644:U644 C647:U647 C650:U650">
    <cfRule type="cellIs" dxfId="137" priority="137" stopIfTrue="1" operator="greaterThanOrEqual">
      <formula>15</formula>
    </cfRule>
    <cfRule type="cellIs" dxfId="136" priority="138"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135" priority="135" stopIfTrue="1" operator="greaterThanOrEqual">
      <formula>5</formula>
    </cfRule>
    <cfRule type="cellIs" dxfId="134" priority="136" stopIfTrue="1" operator="lessThanOrEqual">
      <formula>-5</formula>
    </cfRule>
  </conditionalFormatting>
  <conditionalFormatting sqref="C653:U653 C620:U620 C623:U623 C626:U626 C629:U629 C632:U632 C635:U635 C638:U638 C641:U641 C644:U644 C647:U647 C650:U650">
    <cfRule type="cellIs" dxfId="133" priority="133" stopIfTrue="1" operator="greaterThanOrEqual">
      <formula>15</formula>
    </cfRule>
    <cfRule type="cellIs" dxfId="132" priority="134"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131" priority="131" stopIfTrue="1" operator="greaterThanOrEqual">
      <formula>5</formula>
    </cfRule>
    <cfRule type="cellIs" dxfId="130" priority="132"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129" priority="130"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128" priority="129" stopIfTrue="1" operator="lessThanOrEqual">
      <formula>-15</formula>
    </cfRule>
  </conditionalFormatting>
  <conditionalFormatting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27" priority="128" stopIfTrue="1" operator="greaterThanOrEqual">
      <formula>5</formula>
    </cfRule>
  </conditionalFormatting>
  <conditionalFormatting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126" priority="127" stopIfTrue="1" operator="lessThanOrEqual">
      <formula>-5</formula>
    </cfRule>
  </conditionalFormatting>
  <conditionalFormatting sqref="C653:U653 C620:U620 C623:U623 C626:U626 C629:U629 C632:U632 C635:U635 C638:U638 C641:U641 C644:U644 C647:U647 C650:U650">
    <cfRule type="cellIs" dxfId="125" priority="125" stopIfTrue="1" operator="greaterThanOrEqual">
      <formula>15</formula>
    </cfRule>
    <cfRule type="cellIs" dxfId="124" priority="126"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123" priority="123" stopIfTrue="1" operator="greaterThanOrEqual">
      <formula>5</formula>
    </cfRule>
    <cfRule type="cellIs" dxfId="122" priority="124" stopIfTrue="1" operator="lessThanOrEqual">
      <formula>-5</formula>
    </cfRule>
  </conditionalFormatting>
  <conditionalFormatting sqref="C653:U653 C620:U620 C623:U623 C626:U626 C629:U629 C632:U632 C635:U635 C638:U638 C641:U641 C644:U644 C647:U647 C650:U650">
    <cfRule type="cellIs" dxfId="121" priority="121" stopIfTrue="1" operator="greaterThanOrEqual">
      <formula>15</formula>
    </cfRule>
    <cfRule type="cellIs" dxfId="120" priority="122"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119" priority="119" stopIfTrue="1" operator="greaterThanOrEqual">
      <formula>5</formula>
    </cfRule>
    <cfRule type="cellIs" dxfId="118" priority="120" stopIfTrue="1" operator="lessThanOrEqual">
      <formula>-5</formula>
    </cfRule>
  </conditionalFormatting>
  <conditionalFormatting sqref="C653:U653 C620:U620 C623:U623 C626:U626 C629:U629 C632:U632 C635:U635 C638:U638 C641:U641 C644:U644 C647:U647 C650:U650">
    <cfRule type="cellIs" dxfId="117" priority="117" stopIfTrue="1" operator="greaterThanOrEqual">
      <formula>15</formula>
    </cfRule>
    <cfRule type="cellIs" dxfId="116" priority="118"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115" priority="115" stopIfTrue="1" operator="greaterThanOrEqual">
      <formula>5</formula>
    </cfRule>
    <cfRule type="cellIs" dxfId="114" priority="116" stopIfTrue="1" operator="lessThanOrEqual">
      <formula>-5</formula>
    </cfRule>
  </conditionalFormatting>
  <conditionalFormatting sqref="C653:U653 C620:U620 C623:U623 C626:U626 C629:U629 C632:U632 C635:U635 C638:U638 C641:U641 C644:U644 C647:U647 C650:U650">
    <cfRule type="cellIs" dxfId="113" priority="113" stopIfTrue="1" operator="greaterThanOrEqual">
      <formula>15</formula>
    </cfRule>
    <cfRule type="cellIs" dxfId="112" priority="114"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111" priority="111" stopIfTrue="1" operator="greaterThanOrEqual">
      <formula>5</formula>
    </cfRule>
    <cfRule type="cellIs" dxfId="110" priority="112" stopIfTrue="1" operator="lessThanOrEqual">
      <formula>-5</formula>
    </cfRule>
  </conditionalFormatting>
  <conditionalFormatting sqref="J297 O297 S297 J300 O300 S300 J303 O303 S303 J306 O306 S306 J309 O309 S309 J312 O312 S312 J315 O315 S315 J318 O318 S318 J321 O321 S321 J324 O324 S324 J327 O327 S327 J330 O330 S330">
    <cfRule type="cellIs" dxfId="109" priority="110" stopIfTrue="1" operator="greaterThanOrEqual">
      <formula>5</formula>
    </cfRule>
  </conditionalFormatting>
  <conditionalFormatting sqref="J297 O297 S297 J300 O300 S300 J303 O303 S303 J306 O306 S306 J309 O309 S309 J312 O312 S312 J315 O315 S315 J318 O318 S318 J321 O321 S321 J324 O324 S324 J327 O327 S327 J330 O330 S330">
    <cfRule type="cellIs" dxfId="108" priority="109"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107" priority="107" stopIfTrue="1" operator="greaterThanOrEqual">
      <formula>5</formula>
    </cfRule>
    <cfRule type="cellIs" dxfId="106" priority="108"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105" priority="105" stopIfTrue="1" operator="greaterThanOrEqual">
      <formula>5</formula>
    </cfRule>
    <cfRule type="cellIs" dxfId="104" priority="106"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103" priority="103" stopIfTrue="1" operator="greaterThanOrEqual">
      <formula>5</formula>
    </cfRule>
    <cfRule type="cellIs" dxfId="102" priority="104"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101" priority="101" stopIfTrue="1" operator="greaterThanOrEqual">
      <formula>5</formula>
    </cfRule>
    <cfRule type="cellIs" dxfId="100" priority="102"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99" priority="99" stopIfTrue="1" operator="greaterThanOrEqual">
      <formula>5</formula>
    </cfRule>
    <cfRule type="cellIs" dxfId="98" priority="100" stopIfTrue="1" operator="lessThanOrEqual">
      <formula>-5</formula>
    </cfRule>
  </conditionalFormatting>
  <conditionalFormatting sqref="J297 O297 S297 J300 O300 S300 J303 O303 S303 J306 O306 S306 J309 O309 S309 J312 O312 S312 J315 O315 S315 J318 O318 S318 J321 O321 S321 J324 O324 S324 J327 O327 S327 J330 O330 S330">
    <cfRule type="cellIs" dxfId="97" priority="98" stopIfTrue="1" operator="greaterThanOrEqual">
      <formula>5</formula>
    </cfRule>
  </conditionalFormatting>
  <conditionalFormatting sqref="J297 O297 S297 J300 O300 S300 J303 O303 S303 J306 O306 S306 J309 O309 S309 J312 O312 S312 J315 O315 S315 J318 O318 S318 J321 O321 S321 J324 O324 S324 J327 O327 S327 J330 O330 S330">
    <cfRule type="cellIs" dxfId="96" priority="97"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95" priority="95" stopIfTrue="1" operator="greaterThanOrEqual">
      <formula>5</formula>
    </cfRule>
    <cfRule type="cellIs" dxfId="94" priority="96"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93" priority="93" stopIfTrue="1" operator="greaterThanOrEqual">
      <formula>5</formula>
    </cfRule>
    <cfRule type="cellIs" dxfId="92" priority="94"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91" priority="91" stopIfTrue="1" operator="greaterThanOrEqual">
      <formula>5</formula>
    </cfRule>
    <cfRule type="cellIs" dxfId="90" priority="92"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89" priority="89" stopIfTrue="1" operator="greaterThanOrEqual">
      <formula>5</formula>
    </cfRule>
    <cfRule type="cellIs" dxfId="88" priority="90"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87" priority="88"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86" priority="87" stopIfTrue="1" operator="lessThanOrEqual">
      <formula>-15</formula>
    </cfRule>
  </conditionalFormatting>
  <conditionalFormatting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85" priority="86" stopIfTrue="1" operator="greaterThanOrEqual">
      <formula>5</formula>
    </cfRule>
  </conditionalFormatting>
  <conditionalFormatting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84" priority="85" stopIfTrue="1" operator="lessThanOrEqual">
      <formula>-5</formula>
    </cfRule>
  </conditionalFormatting>
  <conditionalFormatting sqref="C653:U653 C620:U620 C623:U623 C626:U626 C629:U629 C632:U632 C635:U635 C638:U638 C641:U641 C644:U644 C647:U647 C650:U650">
    <cfRule type="cellIs" dxfId="83" priority="83" stopIfTrue="1" operator="greaterThanOrEqual">
      <formula>15</formula>
    </cfRule>
    <cfRule type="cellIs" dxfId="82" priority="84"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81" priority="81" stopIfTrue="1" operator="greaterThanOrEqual">
      <formula>5</formula>
    </cfRule>
    <cfRule type="cellIs" dxfId="80" priority="82" stopIfTrue="1" operator="lessThanOrEqual">
      <formula>-5</formula>
    </cfRule>
  </conditionalFormatting>
  <conditionalFormatting sqref="C653:U653 C620:U620 C623:U623 C626:U626 C629:U629 C632:U632 C635:U635 C638:U638 C641:U641 C644:U644 C647:U647 C650:U650">
    <cfRule type="cellIs" dxfId="79" priority="79" stopIfTrue="1" operator="greaterThanOrEqual">
      <formula>15</formula>
    </cfRule>
    <cfRule type="cellIs" dxfId="78" priority="80"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77" priority="77" stopIfTrue="1" operator="greaterThanOrEqual">
      <formula>5</formula>
    </cfRule>
    <cfRule type="cellIs" dxfId="76" priority="78" stopIfTrue="1" operator="lessThanOrEqual">
      <formula>-5</formula>
    </cfRule>
  </conditionalFormatting>
  <conditionalFormatting sqref="C653:U653 C620:U620 C623:U623 C626:U626 C629:U629 C632:U632 C635:U635 C638:U638 C641:U641 C644:U644 C647:U647 C650:U650">
    <cfRule type="cellIs" dxfId="75" priority="75" stopIfTrue="1" operator="greaterThanOrEqual">
      <formula>15</formula>
    </cfRule>
    <cfRule type="cellIs" dxfId="74" priority="76"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73" priority="73" stopIfTrue="1" operator="greaterThanOrEqual">
      <formula>5</formula>
    </cfRule>
    <cfRule type="cellIs" dxfId="72" priority="74" stopIfTrue="1" operator="lessThanOrEqual">
      <formula>-5</formula>
    </cfRule>
  </conditionalFormatting>
  <conditionalFormatting sqref="C653:U653 C620:U620 C623:U623 C626:U626 C629:U629 C632:U632 C635:U635 C638:U638 C641:U641 C644:U644 C647:U647 C650:U650">
    <cfRule type="cellIs" dxfId="71" priority="71" stopIfTrue="1" operator="greaterThanOrEqual">
      <formula>15</formula>
    </cfRule>
    <cfRule type="cellIs" dxfId="70" priority="72"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69" priority="69" stopIfTrue="1" operator="greaterThanOrEqual">
      <formula>5</formula>
    </cfRule>
    <cfRule type="cellIs" dxfId="68" priority="70" stopIfTrue="1" operator="lessThanOrEqual">
      <formula>-5</formula>
    </cfRule>
  </conditionalFormatting>
  <conditionalFormatting sqref="C653:U653 C620:U620 C623:U623 C626:U626 C629:U629 C632:U632 C635:U635 C638:U638 C641:U641 C644:U644 C647:U647 C650:U650">
    <cfRule type="cellIs" dxfId="67" priority="67" stopIfTrue="1" operator="greaterThanOrEqual">
      <formula>15</formula>
    </cfRule>
    <cfRule type="cellIs" dxfId="66" priority="68"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65" priority="65" stopIfTrue="1" operator="greaterThanOrEqual">
      <formula>5</formula>
    </cfRule>
    <cfRule type="cellIs" dxfId="64" priority="66" stopIfTrue="1" operator="lessThanOrEqual">
      <formula>-5</formula>
    </cfRule>
  </conditionalFormatting>
  <conditionalFormatting sqref="J653 O653 S653 J620 O620 S620 J623 O623 S623 J626 O626 S626 J629 O629 S629 J632 O632 S632 J635 O635 S635 J638 O638 S638 J641 O641 S641 J644 O644 S644 J647 O647 S647 J650 O650 S650">
    <cfRule type="cellIs" dxfId="63" priority="64" stopIfTrue="1" operator="greaterThanOrEqual">
      <formula>15</formula>
    </cfRule>
  </conditionalFormatting>
  <conditionalFormatting sqref="J653 O653 S653 J620 O620 S620 J623 O623 S623 J626 O626 S626 J629 O629 S629 J632 O632 S632 J635 O635 S635 J638 O638 S638 J641 O641 S641 J644 O644 S644 J647 O647 S647 J650 O650 S650">
    <cfRule type="cellIs" dxfId="62" priority="63" stopIfTrue="1" operator="lessThanOrEqual">
      <formula>-15</formula>
    </cfRule>
  </conditionalFormatting>
  <conditionalFormatting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61" priority="62" stopIfTrue="1" operator="greaterThanOrEqual">
      <formula>5</formula>
    </cfRule>
  </conditionalFormatting>
  <conditionalFormatting sqref="J44 O44 S44 J47 O47 S47 J50 O50 S50 J53 O53 S53 J56 O56 S56 J59 O59 S59 J62 O62 S62 J65 O65 S65 J68 O68 S68 J71 O71 S71 J74 O74 S74 J77 O77 S77 J8 O8 S8 J11 O11 S11 J14 O14 S14 J17 O17 S17 J20 O20 S20 J23 O23 S23 J26 O26 S26 J29 O29 S29 J32 O32 S32 J35 O35 S35 J38 O38 S38 J41 O41 S41 J80 O80 S80 J83 O83 S83 J86 O86 S86 J89 O89 S89 J92 O92 S92 J95 O95 S95 J98 O98 S98 J101 O101 S101 J104 O104 S104 J107 O107 S107 J110 O110 S110 J113 O113 S113 J116 O116 S116 J119 O119 S119 J122 O122 S122 J125 O125 S125 J128 O128 S128 J131 O131 S131 J134 O134 S134 J137 O137 S137 J140 O140 S140 J143 O143 S143 J146 O146 S146 J149 O149 S149 J152 O152 S152 J155 O155 S155 J158 O158 S158 J161 O161 S161 J164 O164 S164 J167 O167 S167 J170 O170 S170 J173 O173 S173 J176 O176 S176 J179 O179 S179 J182 O182 S182 J185 O185 S185 J188 O188 S188 J191 O191 S191 J194 O194 S194 J197 O197 S197 J200 O200 S200 J203 O203 S203 J206 O206 S206 J209 O209 S209 J212 O212 S212 J215 O215 S215 J218 O218 S218 J221 O221 S221 J224 O224 S224 J227 O227 S227 J230 O230 S230 J233 O233 S233 J236 O236 S236 J239 O239 S239 J242 O242 S242 J245 O245 S245 J248 O248 S248 J251 O251 S251 J254 O254 S254 J257 O257 S257 J260 O260 S260 J263 O263 S263 J266 O266 S266 J269 O269 S269 J272 O272 S272 J275 O275 S275 J278 O278 S278 J281 O281 S281 J284 O284 S284 J287 O287 S287 J290 O290 S290 J293 O293 S293 J296 O296 S296 J299 O299 S299 J302 O302 S302 J305 O305 S305 J308 O308 S308 J311 O311 S311 J314 O314 S314 J317 O317 S317 J320 O320 S320 J323 O323 S323 J326 O326 S326 J329 O329 S329 J332 O332 S332 J335 O335 S335 J338 O338 S338 J341 O341 S341 J344 O344 S344 J347 O347 S347 J350 O350 S350 J353 O353 S353 J356 O356 S356 J359 O359 S359 J362 O362 S362 J365 O365 S365 J368 O368 S368 J371 O371 S371 J374 O374 S374 J377 O377 S377 J380 O380 S380 J383 O383 S383 J386 O386 S386 J389 O389 S389 J392 O392 S392 J395 O395 S395 J398 O398 S398 J401 O401 S401 J404 O404 S404 J407 O407 S407 J410 O410 S410 J413 O413 S413 J416 O416 S416 J419 O419 S419 J422 O422 S422 J425 O425 S425 J428 O428 S428 J431 O431 S431 J434 O434 S434 J437 O437 S437 J440 O440 S440 J443 O443 S443 J446 O446 S446 J449 O449 S449 J452 O452 S452 J455 O455 S455 J458 O458 S458 J461 O461 S461 J464 O464 S464 J467 O467 S467 J470 O470 S470 J473 O473 S473 J476 O476 S476 J479 O479 S479 J482 O482 S482 J485 O485 S485 J488 O488 S488 J491 O491 S491 J494 O494 S494 J497 O497 S497 J500 O500 S500 J503 O503 S503 J506 O506 S506 J509 O509 S509 J512 O512 S512 J515 O515 S515 J518 O518 S518 J521 O521 S521 J524 O524 S524 J527 O527 S527 J530 O530 S530 J533 O533 S533 J536 O536 S536 J539 O539 S539 J542 O542 S542 J545 O545 S545 J548 O548 S548 J551 O551 S551 J554 O554 S554 J557 O557 S557 J560 O560 S560 J563 O563 S563 J566 O566 S566 J569 O569 S569 J572 O572 S572 J575 O575 S575 J578 O578 S578 J581 O581 S581">
    <cfRule type="cellIs" dxfId="60" priority="61" stopIfTrue="1" operator="lessThanOrEqual">
      <formula>-5</formula>
    </cfRule>
  </conditionalFormatting>
  <conditionalFormatting sqref="C653:U653 C620:U620 C623:U623 C626:U626 C629:U629 C632:U632 C635:U635 C638:U638 C641:U641 C644:U644 C647:U647 C650:U650">
    <cfRule type="cellIs" dxfId="59" priority="59" stopIfTrue="1" operator="greaterThanOrEqual">
      <formula>15</formula>
    </cfRule>
    <cfRule type="cellIs" dxfId="58" priority="60"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57" priority="57" stopIfTrue="1" operator="greaterThanOrEqual">
      <formula>5</formula>
    </cfRule>
    <cfRule type="cellIs" dxfId="56" priority="58" stopIfTrue="1" operator="lessThanOrEqual">
      <formula>-5</formula>
    </cfRule>
  </conditionalFormatting>
  <conditionalFormatting sqref="C653:U653 C620:U620 C623:U623 C626:U626 C629:U629 C632:U632 C635:U635 C638:U638 C641:U641 C644:U644 C647:U647 C650:U650">
    <cfRule type="cellIs" dxfId="55" priority="55" stopIfTrue="1" operator="greaterThanOrEqual">
      <formula>15</formula>
    </cfRule>
    <cfRule type="cellIs" dxfId="54" priority="56"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53" priority="53" stopIfTrue="1" operator="greaterThanOrEqual">
      <formula>5</formula>
    </cfRule>
    <cfRule type="cellIs" dxfId="52" priority="54" stopIfTrue="1" operator="lessThanOrEqual">
      <formula>-5</formula>
    </cfRule>
  </conditionalFormatting>
  <conditionalFormatting sqref="C653:U653 C620:U620 C623:U623 C626:U626 C629:U629 C632:U632 C635:U635 C638:U638 C641:U641 C644:U644 C647:U647 C650:U650">
    <cfRule type="cellIs" dxfId="51" priority="51" stopIfTrue="1" operator="greaterThanOrEqual">
      <formula>15</formula>
    </cfRule>
    <cfRule type="cellIs" dxfId="50" priority="52"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49" priority="49" stopIfTrue="1" operator="greaterThanOrEqual">
      <formula>5</formula>
    </cfRule>
    <cfRule type="cellIs" dxfId="48" priority="50" stopIfTrue="1" operator="lessThanOrEqual">
      <formula>-5</formula>
    </cfRule>
  </conditionalFormatting>
  <conditionalFormatting sqref="C653:U653 C620:U620 C623:U623 C626:U626 C629:U629 C632:U632 C635:U635 C638:U638 C641:U641 C644:U644 C647:U647 C650:U650">
    <cfRule type="cellIs" dxfId="47" priority="47" stopIfTrue="1" operator="greaterThanOrEqual">
      <formula>15</formula>
    </cfRule>
    <cfRule type="cellIs" dxfId="46" priority="48" stopIfTrue="1" operator="lessThanOrEqual">
      <formula>-15</formula>
    </cfRule>
  </conditionalFormatting>
  <conditionalFormatting sqref="C44:U44 C47:U47 C50:U50 C53:U53 C56:U56 C59:U59 C62:U62 C65:U65 C68:U68 C71:U71 C74:U74 C77:U77 C8:U8 C11:U11 C14:U14 C17:U17 C20:U20 C23:U23 C26:U26 C29:U29 C32:U32 C35:U35 C38:U38 C41:U41 C80:U80 C83:U83 C86:U86 C89:U89 C92:U92 C95:U95 C98:U98 C101:U101 C104:U104 C107:U107 C110:U110 C113:U113 C116:U116 C119:U119 C122:U122 C125:U125 C128:U128 C131:U131 C134:U134 C137:U137 C140:U140 C143:U143 C146:U146 C149:U149 C152:U152 C155:U155 C158:U158 C161:U161 C164:U164 C167:U167 C170:U170 C173:U173 C176:U176 C179:U179 C182:U182 C185:U185 C188:U188 C191:U191 C194:U194 C197:U197 C200:U200 C203:U203 C206:U206 C209:U209 C212:U212 C215:U215 C218:U218 C221:U221 C224:U224 C227:U227 C230:U230 C233:U233 C236:U236 C239:U239 C242:U242 C245:U245 C248:U248 C251:U251 C254:U254 C257:U257 C260:U260 C263:U263 C266:U266 C269:U269 C272:U272 C275:U275 C278:U278 C281:U281 C284:U284 C287:U287 C290:U290 C293:U293 C296:U296 C299:U299 C302:U302 C305:U305 C308:U308 C311:U311 C314:U314 C317:U317 C320:U320 C323:U323 C326:U326 C329:U329 C332:U332 C335:U335 C338:U338 C341:U341 C344:U344 C347:U347 C350:U350 C353:U353 C356:U356 C359:U359 C362:U362 C365:U365 C368:U368 C371:U371 C374:U374 C377:U377 C380:U380 C383:U383 C386:U386 C389:U389 C392:U392 C395:U395 C398:U398 C401:U401 C404:U404 C407:U407 C410:U410 C413:U413 C416:U416 C419:U419 C422:U422 C425:U425 C428:U428 C431:U431 C434:U434 C437:U437 C440:U440 C443:U443 C446:U446 C449:U449 C452:U452 C455:U455 C458:U458 C461:U461 C464:U464 C467:U467 C470:U470 C473:U473 C476:U476 C479:U479 C482:U482 C485:U485 C488:U488 C491:U491 C494:U494 C497:U497 C500:U500 C503:U503 C506:U506 C509:U509 C512:U512 C515:U515 C518:U518 C521:U521 C524:U524 C527:U527 C530:U530 C533:U533 C536:U536 C539:U539 C542:U542 C545:U545 C548:U548 C551:U551 C554:U554 C557:U557 C560:U560 C563:U563 C566:U566 C569:U569 C572:U572 C575:U575 C578:U578 C581:U581">
    <cfRule type="cellIs" dxfId="45" priority="45" stopIfTrue="1" operator="greaterThanOrEqual">
      <formula>5</formula>
    </cfRule>
    <cfRule type="cellIs" dxfId="44" priority="46" stopIfTrue="1" operator="lessThanOrEqual">
      <formula>-5</formula>
    </cfRule>
  </conditionalFormatting>
  <conditionalFormatting sqref="J297 O297 S297 J300 O300 S300 J303 O303 S303 J306 O306 S306 J309 O309 S309 J312 O312 S312 J315 O315 S315 J318 O318 S318 J321 O321 S321 J324 O324 S324 J327 O327 S327 J330 O330 S330">
    <cfRule type="cellIs" dxfId="43" priority="44" stopIfTrue="1" operator="greaterThanOrEqual">
      <formula>5</formula>
    </cfRule>
  </conditionalFormatting>
  <conditionalFormatting sqref="J297 O297 S297 J300 O300 S300 J303 O303 S303 J306 O306 S306 J309 O309 S309 J312 O312 S312 J315 O315 S315 J318 O318 S318 J321 O321 S321 J324 O324 S324 J327 O327 S327 J330 O330 S330">
    <cfRule type="cellIs" dxfId="42" priority="43"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41" priority="41" stopIfTrue="1" operator="greaterThanOrEqual">
      <formula>5</formula>
    </cfRule>
    <cfRule type="cellIs" dxfId="40" priority="42"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39" priority="39" stopIfTrue="1" operator="greaterThanOrEqual">
      <formula>5</formula>
    </cfRule>
    <cfRule type="cellIs" dxfId="38" priority="40"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37" priority="37" stopIfTrue="1" operator="greaterThanOrEqual">
      <formula>5</formula>
    </cfRule>
    <cfRule type="cellIs" dxfId="36" priority="38"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35" priority="35" stopIfTrue="1" operator="greaterThanOrEqual">
      <formula>5</formula>
    </cfRule>
    <cfRule type="cellIs" dxfId="34" priority="36"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33" priority="33" stopIfTrue="1" operator="greaterThanOrEqual">
      <formula>5</formula>
    </cfRule>
    <cfRule type="cellIs" dxfId="32" priority="34" stopIfTrue="1" operator="lessThanOrEqual">
      <formula>-5</formula>
    </cfRule>
  </conditionalFormatting>
  <conditionalFormatting sqref="J297 O297 S297 J300 O300 S300 J303 O303 S303 J306 O306 S306 J309 O309 S309 J312 O312 S312 J315 O315 S315 J318 O318 S318 J321 O321 S321 J324 O324 S324 J327 O327 S327 J330 O330 S330">
    <cfRule type="cellIs" dxfId="31" priority="32" stopIfTrue="1" operator="greaterThanOrEqual">
      <formula>5</formula>
    </cfRule>
  </conditionalFormatting>
  <conditionalFormatting sqref="J297 O297 S297 J300 O300 S300 J303 O303 S303 J306 O306 S306 J309 O309 S309 J312 O312 S312 J315 O315 S315 J318 O318 S318 J321 O321 S321 J324 O324 S324 J327 O327 S327 J330 O330 S330">
    <cfRule type="cellIs" dxfId="30" priority="31"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29" priority="29" stopIfTrue="1" operator="greaterThanOrEqual">
      <formula>5</formula>
    </cfRule>
    <cfRule type="cellIs" dxfId="28" priority="30"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27" priority="27" stopIfTrue="1" operator="greaterThanOrEqual">
      <formula>5</formula>
    </cfRule>
    <cfRule type="cellIs" dxfId="26" priority="28"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25" priority="25" stopIfTrue="1" operator="greaterThanOrEqual">
      <formula>5</formula>
    </cfRule>
    <cfRule type="cellIs" dxfId="24" priority="26" stopIfTrue="1" operator="lessThanOrEqual">
      <formula>-5</formula>
    </cfRule>
  </conditionalFormatting>
  <conditionalFormatting sqref="D297:J297 O297 S297 D300:J300 O300 S300 D303:J303 O303 S303 D306:J306 O306 S306 D309:J309 O309 S309 D312:J312 O312 S312 D315:J315 O315 S315 D318:J318 O318 S318 D321:J321 O321 S321 D324:J324 O324 S324 D327:J327 O327 S327 D330:J330 O330 S330">
    <cfRule type="cellIs" dxfId="23" priority="23" stopIfTrue="1" operator="greaterThanOrEqual">
      <formula>5</formula>
    </cfRule>
    <cfRule type="cellIs" dxfId="22" priority="24" stopIfTrue="1" operator="lessThanOrEqual">
      <formula>-5</formula>
    </cfRule>
  </conditionalFormatting>
  <conditionalFormatting sqref="J296 O296 S296 J299 O299 S299 J302 O302 S302 J305 O305 S305 J308 O308 S308 J311 O311 S311 J314 O314 S314 J317 O317 S317 J320 O320 S320 J323 O323 S323 J326 O326 S326 J329 O329 S329">
    <cfRule type="cellIs" dxfId="21" priority="22" stopIfTrue="1" operator="greaterThanOrEqual">
      <formula>5</formula>
    </cfRule>
  </conditionalFormatting>
  <conditionalFormatting sqref="J296 O296 S296 J299 O299 S299 J302 O302 S302 J305 O305 S305 J308 O308 S308 J311 O311 S311 J314 O314 S314 J317 O317 S317 J320 O320 S320 J323 O323 S323 J326 O326 S326 J329 O329 S329">
    <cfRule type="cellIs" dxfId="20" priority="21" stopIfTrue="1" operator="lessThanOrEqual">
      <formula>-5</formula>
    </cfRule>
  </conditionalFormatting>
  <conditionalFormatting sqref="C296:U296 C299:U299 C302:U302 C305:U305 C308:U308 C311:U311 C314:U314 C317:U317 C320:U320 C323:U323 C326:U326 C329:U329">
    <cfRule type="cellIs" dxfId="19" priority="19" stopIfTrue="1" operator="greaterThanOrEqual">
      <formula>5</formula>
    </cfRule>
    <cfRule type="cellIs" dxfId="18" priority="20" stopIfTrue="1" operator="lessThanOrEqual">
      <formula>-5</formula>
    </cfRule>
  </conditionalFormatting>
  <conditionalFormatting sqref="C296:U296 C299:U299 C302:U302 C305:U305 C308:U308 C311:U311 C314:U314 C317:U317 C320:U320 C323:U323 C326:U326 C329:U329">
    <cfRule type="cellIs" dxfId="17" priority="17" stopIfTrue="1" operator="greaterThanOrEqual">
      <formula>5</formula>
    </cfRule>
    <cfRule type="cellIs" dxfId="16" priority="18" stopIfTrue="1" operator="lessThanOrEqual">
      <formula>-5</formula>
    </cfRule>
  </conditionalFormatting>
  <conditionalFormatting sqref="C296:U296 C299:U299 C302:U302 C305:U305 C308:U308 C311:U311 C314:U314 C317:U317 C320:U320 C323:U323 C326:U326 C329:U329">
    <cfRule type="cellIs" dxfId="15" priority="15" stopIfTrue="1" operator="greaterThanOrEqual">
      <formula>5</formula>
    </cfRule>
    <cfRule type="cellIs" dxfId="14" priority="16" stopIfTrue="1" operator="lessThanOrEqual">
      <formula>-5</formula>
    </cfRule>
  </conditionalFormatting>
  <conditionalFormatting sqref="C296:U296 C299:U299 C302:U302 C305:U305 C308:U308 C311:U311 C314:U314 C317:U317 C320:U320 C323:U323 C326:U326 C329:U329">
    <cfRule type="cellIs" dxfId="13" priority="13" stopIfTrue="1" operator="greaterThanOrEqual">
      <formula>5</formula>
    </cfRule>
    <cfRule type="cellIs" dxfId="12" priority="14" stopIfTrue="1" operator="lessThanOrEqual">
      <formula>-5</formula>
    </cfRule>
  </conditionalFormatting>
  <conditionalFormatting sqref="C296:U296 C299:U299 C302:U302 C305:U305 C308:U308 C311:U311 C314:U314 C317:U317 C320:U320 C323:U323 C326:U326 C329:U329">
    <cfRule type="cellIs" dxfId="11" priority="11" stopIfTrue="1" operator="greaterThanOrEqual">
      <formula>5</formula>
    </cfRule>
    <cfRule type="cellIs" dxfId="10" priority="12" stopIfTrue="1" operator="lessThanOrEqual">
      <formula>-5</formula>
    </cfRule>
  </conditionalFormatting>
  <conditionalFormatting sqref="J296 O296 S296 J299 O299 S299 J302 O302 S302 J305 O305 S305 J308 O308 S308 J311 O311 S311 J314 O314 S314 J317 O317 S317 J320 O320 S320 J323 O323 S323 J326 O326 S326 J329 O329 S329">
    <cfRule type="cellIs" dxfId="9" priority="10" stopIfTrue="1" operator="greaterThanOrEqual">
      <formula>5</formula>
    </cfRule>
  </conditionalFormatting>
  <conditionalFormatting sqref="J296 O296 S296 J299 O299 S299 J302 O302 S302 J305 O305 S305 J308 O308 S308 J311 O311 S311 J314 O314 S314 J317 O317 S317 J320 O320 S320 J323 O323 S323 J326 O326 S326 J329 O329 S329">
    <cfRule type="cellIs" dxfId="8" priority="9" stopIfTrue="1" operator="lessThanOrEqual">
      <formula>-5</formula>
    </cfRule>
  </conditionalFormatting>
  <conditionalFormatting sqref="C296:U296 C299:U299 C302:U302 C305:U305 C308:U308 C311:U311 C314:U314 C317:U317 C320:U320 C323:U323 C326:U326 C329:U329">
    <cfRule type="cellIs" dxfId="7" priority="7" stopIfTrue="1" operator="greaterThanOrEqual">
      <formula>5</formula>
    </cfRule>
    <cfRule type="cellIs" dxfId="6" priority="8" stopIfTrue="1" operator="lessThanOrEqual">
      <formula>-5</formula>
    </cfRule>
  </conditionalFormatting>
  <conditionalFormatting sqref="C296:U296 C299:U299 C302:U302 C305:U305 C308:U308 C311:U311 C314:U314 C317:U317 C320:U320 C323:U323 C326:U326 C329:U329">
    <cfRule type="cellIs" dxfId="5" priority="5" stopIfTrue="1" operator="greaterThanOrEqual">
      <formula>5</formula>
    </cfRule>
    <cfRule type="cellIs" dxfId="4" priority="6" stopIfTrue="1" operator="lessThanOrEqual">
      <formula>-5</formula>
    </cfRule>
  </conditionalFormatting>
  <conditionalFormatting sqref="C296:U296 C299:U299 C302:U302 C305:U305 C308:U308 C311:U311 C314:U314 C317:U317 C320:U320 C323:U323 C326:U326 C329:U329">
    <cfRule type="cellIs" dxfId="3" priority="3" stopIfTrue="1" operator="greaterThanOrEqual">
      <formula>5</formula>
    </cfRule>
    <cfRule type="cellIs" dxfId="2" priority="4" stopIfTrue="1" operator="lessThanOrEqual">
      <formula>-5</formula>
    </cfRule>
  </conditionalFormatting>
  <conditionalFormatting sqref="C296:U296 C299:U299 C302:U302 C305:U305 C308:U308 C311:U311 C314:U314 C317:U317 C320:U320 C323:U323 C326:U326 C329:U329">
    <cfRule type="cellIs" dxfId="1" priority="1" stopIfTrue="1" operator="greaterThanOrEqual">
      <formula>5</formula>
    </cfRule>
    <cfRule type="cellIs" dxfId="0" priority="2" stopIfTrue="1" operator="lessThanOrEqual">
      <formula>-5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sheetPr enableFormatConditionsCalculation="0">
    <tabColor indexed="15"/>
  </sheetPr>
  <dimension ref="A1:AJ83"/>
  <sheetViews>
    <sheetView zoomScale="90" zoomScaleNormal="90" workbookViewId="0">
      <selection activeCell="U38" sqref="U38:V39"/>
    </sheetView>
  </sheetViews>
  <sheetFormatPr defaultRowHeight="12.75"/>
  <cols>
    <col min="1" max="1" width="18.85546875" bestFit="1" customWidth="1"/>
    <col min="2" max="2" width="11.7109375" customWidth="1"/>
    <col min="3" max="3" width="11.42578125" customWidth="1"/>
    <col min="4" max="6" width="10.85546875" customWidth="1"/>
    <col min="7" max="7" width="11.140625" customWidth="1"/>
    <col min="8" max="8" width="10.85546875" customWidth="1"/>
    <col min="9" max="9" width="11.140625" customWidth="1"/>
    <col min="10" max="10" width="9.5703125" customWidth="1"/>
    <col min="11" max="11" width="9.28515625" customWidth="1"/>
    <col min="12" max="12" width="9.7109375" customWidth="1"/>
    <col min="13" max="13" width="9.85546875" customWidth="1"/>
    <col min="14" max="14" width="9.5703125" bestFit="1" customWidth="1"/>
    <col min="15" max="15" width="9.7109375" customWidth="1"/>
    <col min="16" max="16" width="12.28515625" customWidth="1"/>
    <col min="17" max="17" width="12.140625" customWidth="1"/>
    <col min="18" max="19" width="11.28515625" customWidth="1"/>
    <col min="20" max="20" width="11.5703125" customWidth="1"/>
    <col min="21" max="21" width="10.7109375" customWidth="1"/>
    <col min="22" max="22" width="11.140625" customWidth="1"/>
    <col min="23" max="23" width="11" customWidth="1"/>
    <col min="24" max="24" width="9.140625" customWidth="1"/>
    <col min="25" max="25" width="9.85546875" customWidth="1"/>
    <col min="26" max="27" width="11.85546875" customWidth="1"/>
    <col min="28" max="28" width="10.85546875" customWidth="1"/>
    <col min="29" max="29" width="11.7109375" customWidth="1"/>
    <col min="30" max="30" width="11.28515625" customWidth="1"/>
    <col min="31" max="31" width="11.140625" customWidth="1"/>
    <col min="32" max="32" width="9.7109375" customWidth="1"/>
    <col min="33" max="33" width="9.5703125" customWidth="1"/>
    <col min="34" max="34" width="10.85546875" customWidth="1"/>
    <col min="35" max="35" width="10.7109375" customWidth="1"/>
  </cols>
  <sheetData>
    <row r="1" spans="1:36">
      <c r="A1" s="33" t="s">
        <v>142</v>
      </c>
    </row>
    <row r="2" spans="1:36">
      <c r="B2" s="176" t="s">
        <v>144</v>
      </c>
      <c r="C2" s="172"/>
      <c r="D2" s="172"/>
      <c r="E2" s="172"/>
      <c r="F2" s="172"/>
      <c r="G2" s="172"/>
      <c r="H2" s="172"/>
      <c r="I2" s="172"/>
      <c r="J2" s="172"/>
      <c r="K2" s="172"/>
      <c r="L2" s="172"/>
      <c r="M2" s="172"/>
      <c r="N2" s="172"/>
      <c r="O2" s="172"/>
      <c r="P2" s="172"/>
      <c r="Q2" s="170"/>
      <c r="R2" s="177" t="s">
        <v>146</v>
      </c>
      <c r="S2" s="173"/>
      <c r="T2" s="173"/>
      <c r="U2" s="173"/>
      <c r="V2" s="173"/>
      <c r="W2" s="173"/>
      <c r="X2" s="173"/>
      <c r="Y2" s="173"/>
      <c r="Z2" s="173"/>
      <c r="AA2" s="171"/>
      <c r="AB2" s="178" t="s">
        <v>147</v>
      </c>
      <c r="AC2" s="174"/>
      <c r="AD2" s="174"/>
      <c r="AE2" s="174"/>
      <c r="AF2" s="174"/>
      <c r="AG2" s="174"/>
      <c r="AH2" s="174"/>
      <c r="AI2" s="174"/>
    </row>
    <row r="3" spans="1:36">
      <c r="B3" s="179">
        <v>1</v>
      </c>
      <c r="C3" s="181"/>
      <c r="D3" s="179">
        <v>2</v>
      </c>
      <c r="E3" s="181"/>
      <c r="F3" s="179">
        <v>3</v>
      </c>
      <c r="G3" s="181"/>
      <c r="H3" s="179">
        <v>4</v>
      </c>
      <c r="I3" s="181"/>
      <c r="J3" s="179">
        <v>5</v>
      </c>
      <c r="K3" s="181"/>
      <c r="L3" s="179">
        <v>6</v>
      </c>
      <c r="M3" s="181"/>
      <c r="N3" s="179">
        <v>15</v>
      </c>
      <c r="O3" s="181"/>
      <c r="P3" s="179" t="s">
        <v>145</v>
      </c>
      <c r="Q3" s="180"/>
      <c r="R3" s="189">
        <v>7</v>
      </c>
      <c r="S3" s="190"/>
      <c r="T3" s="189">
        <v>8</v>
      </c>
      <c r="U3" s="190"/>
      <c r="V3" s="189">
        <v>9</v>
      </c>
      <c r="W3" s="190"/>
      <c r="X3" s="189">
        <v>10</v>
      </c>
      <c r="Y3" s="190"/>
      <c r="Z3" s="189" t="s">
        <v>145</v>
      </c>
      <c r="AA3" s="190"/>
      <c r="AB3" s="191">
        <v>12</v>
      </c>
      <c r="AC3" s="192"/>
      <c r="AD3" s="191">
        <v>13</v>
      </c>
      <c r="AE3" s="192"/>
      <c r="AF3" s="191">
        <v>14</v>
      </c>
      <c r="AG3" s="192"/>
      <c r="AH3" s="191" t="s">
        <v>145</v>
      </c>
      <c r="AI3" s="192"/>
    </row>
    <row r="4" spans="1:36">
      <c r="B4" s="182" t="s">
        <v>143</v>
      </c>
      <c r="C4" s="183" t="s">
        <v>838</v>
      </c>
      <c r="D4" s="182" t="s">
        <v>143</v>
      </c>
      <c r="E4" s="183" t="s">
        <v>838</v>
      </c>
      <c r="F4" s="182" t="s">
        <v>143</v>
      </c>
      <c r="G4" s="183" t="s">
        <v>838</v>
      </c>
      <c r="H4" s="182" t="s">
        <v>143</v>
      </c>
      <c r="I4" s="183" t="s">
        <v>838</v>
      </c>
      <c r="J4" s="182" t="s">
        <v>143</v>
      </c>
      <c r="K4" s="183" t="s">
        <v>838</v>
      </c>
      <c r="L4" s="182" t="s">
        <v>143</v>
      </c>
      <c r="M4" s="183" t="s">
        <v>838</v>
      </c>
      <c r="N4" s="182" t="s">
        <v>143</v>
      </c>
      <c r="O4" s="183" t="s">
        <v>838</v>
      </c>
      <c r="P4" s="182" t="s">
        <v>143</v>
      </c>
      <c r="Q4" s="184" t="s">
        <v>838</v>
      </c>
      <c r="R4" s="185" t="s">
        <v>143</v>
      </c>
      <c r="S4" s="186" t="s">
        <v>838</v>
      </c>
      <c r="T4" s="185" t="s">
        <v>143</v>
      </c>
      <c r="U4" s="186" t="s">
        <v>838</v>
      </c>
      <c r="V4" s="185" t="s">
        <v>143</v>
      </c>
      <c r="W4" s="186" t="s">
        <v>838</v>
      </c>
      <c r="X4" s="185" t="s">
        <v>143</v>
      </c>
      <c r="Y4" s="186" t="s">
        <v>838</v>
      </c>
      <c r="Z4" s="185" t="s">
        <v>143</v>
      </c>
      <c r="AA4" s="193" t="s">
        <v>838</v>
      </c>
      <c r="AB4" s="187" t="s">
        <v>143</v>
      </c>
      <c r="AC4" s="194" t="s">
        <v>838</v>
      </c>
      <c r="AD4" s="187" t="s">
        <v>143</v>
      </c>
      <c r="AE4" s="194" t="s">
        <v>838</v>
      </c>
      <c r="AF4" s="187" t="s">
        <v>143</v>
      </c>
      <c r="AG4" s="194" t="s">
        <v>838</v>
      </c>
      <c r="AH4" s="187" t="s">
        <v>143</v>
      </c>
      <c r="AI4" s="194" t="s">
        <v>838</v>
      </c>
      <c r="AJ4" s="1"/>
    </row>
    <row r="5" spans="1:36">
      <c r="A5" s="175" t="s">
        <v>220</v>
      </c>
      <c r="B5" s="195">
        <f>GETPIVOTDATA("Sum of OLD-Tot UG SCH Calc",'Pivot Table for Fact Book'!$A$3,"State","AL","type",1,"Type2","Four-Year")</f>
        <v>1430100</v>
      </c>
      <c r="C5" s="116">
        <f>GETPIVOTDATA("Sum of NEW-Tot UG SCH Calc",'Pivot Table for Fact Book'!$A$3,"State","AL","type",1,"Type2","Four-Year")</f>
        <v>1465149</v>
      </c>
      <c r="D5" s="195">
        <f>GETPIVOTDATA("Sum of OLD-Tot UG SCH Calc",'Pivot Table for Fact Book'!$A$3,"State","AL","type",2,"Type2","Four-Year")</f>
        <v>146658</v>
      </c>
      <c r="E5" s="116">
        <f>GETPIVOTDATA("Sum of NEW-Tot UG SCH Calc",'Pivot Table for Fact Book'!$A$3,"State","AL","type",2,"Type2","Four-Year")</f>
        <v>149784</v>
      </c>
      <c r="F5" s="195">
        <f>GETPIVOTDATA("Sum of OLD-Tot UG SCH Calc",'Pivot Table for Fact Book'!$A$3,"State","AL","type",3,"Type2","Four-Year")</f>
        <v>748695</v>
      </c>
      <c r="G5" s="116">
        <f>GETPIVOTDATA("Sum of NEW-Tot UG SCH Calc",'Pivot Table for Fact Book'!$A$3,"State","AL","type",3,"Type2","Four-Year")</f>
        <v>767299</v>
      </c>
      <c r="H5" s="195">
        <f>GETPIVOTDATA("Sum of OLD-Tot UG SCH Calc",'Pivot Table for Fact Book'!$A$3,"State","AL","type",4,"Type2","Four-Year")</f>
        <v>400308</v>
      </c>
      <c r="I5" s="116">
        <f>GETPIVOTDATA("Sum of NEW-Tot UG SCH Calc",'Pivot Table for Fact Book'!$A$3,"State","AL","type",4,"Type2","Four-Year")</f>
        <v>407413</v>
      </c>
      <c r="J5" s="195">
        <f>GETPIVOTDATA("Sum of OLD-Tot UG SCH Calc",'Pivot Table for Fact Book'!$A$3,"State","AL","type",5,"Type2","Four-Year")</f>
        <v>49970</v>
      </c>
      <c r="K5" s="116">
        <f>GETPIVOTDATA("Sum of NEW-Tot UG SCH Calc",'Pivot Table for Fact Book'!$A$3,"State","AL","type",5,"Type2","Four-Year")</f>
        <v>121448</v>
      </c>
      <c r="L5" s="195">
        <f>GETPIVOTDATA("Sum of OLD-Tot UG SCH Calc",'Pivot Table for Fact Book'!$A$3,"State","AL","type",6,"Type2","Four-Year")</f>
        <v>73579</v>
      </c>
      <c r="M5" s="116">
        <f>GETPIVOTDATA("Sum of NEW-Tot UG SCH Calc",'Pivot Table for Fact Book'!$A$3,"State","AL","type",6,"Type2","Four-Year")</f>
        <v>79691</v>
      </c>
      <c r="N5" s="195">
        <f>GETPIVOTDATA("Sum of OLD-Tot UG SCH Calc",'Pivot Table for Fact Book'!$A$3,"State","AL","type",15,"Type2","Four-Year")</f>
        <v>0</v>
      </c>
      <c r="O5" s="116">
        <f>GETPIVOTDATA("Sum of NEW-Tot UG SCH Calc",'Pivot Table for Fact Book'!$A$3,"State","AL","type",15,"Type2","Four-Year")</f>
        <v>0</v>
      </c>
      <c r="P5" s="196">
        <f>GETPIVOTDATA("Sum of OLD-Tot UG SCH Calc",'Pivot Table for Fact Book'!$A$3,"State","AL","Type2","Four-Year")</f>
        <v>2849310</v>
      </c>
      <c r="Q5" s="196">
        <f>GETPIVOTDATA("Sum of NEW-Tot UG SCH Calc",'Pivot Table for Fact Book'!$A$3,"State","AL","Type2","Four-Year")</f>
        <v>2990784</v>
      </c>
      <c r="R5" s="195">
        <f>GETPIVOTDATA("Sum of OLD-Tot UG SCH Calc",'Pivot Table for Fact Book'!$A$3,"State","AL","type",7,"Type2","Two-Year")</f>
        <v>0</v>
      </c>
      <c r="S5" s="197">
        <f>GETPIVOTDATA("Sum of NEW-Tot UG SCH Calc",'Pivot Table for Fact Book'!$A$3,"State","AL","type",7,"Type2","Two-Year")</f>
        <v>0</v>
      </c>
      <c r="T5" s="197">
        <f>GETPIVOTDATA("Sum of OLD-Tot UG SCH Calc",'Pivot Table for Fact Book'!$A$3,"State","AL","type",8,"Type2","Two-Year")</f>
        <v>353317</v>
      </c>
      <c r="U5" s="197">
        <f>GETPIVOTDATA("Sum of NEW-Tot UG SCH Calc",'Pivot Table for Fact Book'!$A$3,"State","AL","type",8,"Type2","Two-Year")</f>
        <v>375311</v>
      </c>
      <c r="V5" s="197">
        <f>GETPIVOTDATA("Sum of OLD-Tot UG SCH Calc",'Pivot Table for Fact Book'!$A$3,"State","AL","type",9,"Type2","Two-Year")</f>
        <v>956300</v>
      </c>
      <c r="W5" s="197">
        <f>GETPIVOTDATA("Sum of NEW-Tot UG SCH Calc",'Pivot Table for Fact Book'!$A$3,"State","AL","type",9,"Type2","Two-Year")</f>
        <v>1068670</v>
      </c>
      <c r="X5" s="197">
        <f>GETPIVOTDATA("Sum of OLD-Tot UG SCH Calc",'Pivot Table for Fact Book'!$A$3,"State","AL","type",10,"Type2","Two-Year")</f>
        <v>374277</v>
      </c>
      <c r="Y5" s="197">
        <f>GETPIVOTDATA("Sum of NEW-Tot UG SCH Calc",'Pivot Table for Fact Book'!$A$3,"State","AL","type",10,"Type2","Two-Year")</f>
        <v>436016</v>
      </c>
      <c r="Z5" s="198">
        <f>GETPIVOTDATA("Sum of OLD-Tot UG SCH Calc",'Pivot Table for Fact Book'!$A$3,"State","AL","Type2","Two-Year")</f>
        <v>1683894</v>
      </c>
      <c r="AA5" s="198">
        <f>GETPIVOTDATA("Sum of NEW-Tot UG SCH Calc",'Pivot Table for Fact Book'!$A$3,"State","AL","Type2","Two-Year")</f>
        <v>1879997</v>
      </c>
      <c r="AB5" s="195">
        <f>GETPIVOTDATA("Sum of OLD-Tot UG SCH Calc",'Pivot Table for Fact Book'!$A$3,"State","AL","type",12,"Type2","Technical")</f>
        <v>36216</v>
      </c>
      <c r="AC5" s="197">
        <f>GETPIVOTDATA("Sum of NEW-Tot UG SCH Calc",'Pivot Table for Fact Book'!$A$3,"State","AL","type",12,"Type2","Technical")</f>
        <v>36758</v>
      </c>
      <c r="AD5" s="195">
        <f>GETPIVOTDATA("Sum of OLD-Tot UG SCH Calc",'Pivot Table for Fact Book'!$A$3,"State","AL","type",13,"Type2","Technical")</f>
        <v>14398</v>
      </c>
      <c r="AE5" s="197">
        <f>GETPIVOTDATA("Sum of NEW-Tot UG SCH Calc",'Pivot Table for Fact Book'!$A$3,"State","AL","type",13,"Type2","Technical")</f>
        <v>15632</v>
      </c>
      <c r="AF5" s="195">
        <f>GETPIVOTDATA("Sum of OLD-Tot UG SCH Calc",'Pivot Table for Fact Book'!$A$3,"State","AL","type",14,"Type2","Technical")</f>
        <v>0</v>
      </c>
      <c r="AG5" s="197">
        <f>GETPIVOTDATA("Sum of NEW-Tot UG SCH Calc",'Pivot Table for Fact Book'!$A$3,"State","AL","type",14,"Type2","Technical")</f>
        <v>0</v>
      </c>
      <c r="AH5" s="737">
        <f>GETPIVOTDATA("Sum of OLD-Tot UG SCH Calc",'Pivot Table for Fact Book'!$A$3,"State","AL","Type2","Technical")</f>
        <v>50614</v>
      </c>
      <c r="AI5" s="199">
        <f>GETPIVOTDATA("Sum of NEW-Tot UG SCH Calc",'Pivot Table for Fact Book'!$A$3,"State","AL","Type2","Technical")</f>
        <v>52390</v>
      </c>
      <c r="AJ5" s="1"/>
    </row>
    <row r="6" spans="1:36">
      <c r="A6" s="175" t="s">
        <v>221</v>
      </c>
      <c r="B6" s="195">
        <f>GETPIVOTDATA("Sum of OLD-Tot UG SCH Calc",'Pivot Table for Fact Book'!$A$3,"State","AR","type",1,"Type2","Four-Year")</f>
        <v>410119</v>
      </c>
      <c r="C6" s="116">
        <f>GETPIVOTDATA("Sum of NEW-Tot UG SCH Calc",'Pivot Table for Fact Book'!$A$3,"State","AR","type",1,"Type2","Four-Year")</f>
        <v>428450</v>
      </c>
      <c r="D6" s="195">
        <f>GETPIVOTDATA("Sum of OLD-Tot UG SCH Calc",'Pivot Table for Fact Book'!$A$3,"State","AR","type",2,"Type2","Four-Year")</f>
        <v>0</v>
      </c>
      <c r="E6" s="116">
        <f>GETPIVOTDATA("Sum of NEW-Tot UG SCH Calc",'Pivot Table for Fact Book'!$A$3,"State","AR","type",2,"Type2","Four-Year")</f>
        <v>0</v>
      </c>
      <c r="F6" s="195">
        <f>GETPIVOTDATA("Sum of OLD-Tot UG SCH Calc",'Pivot Table for Fact Book'!$A$3,"State","AR","type",3,"Type2","Four-Year")</f>
        <v>760939</v>
      </c>
      <c r="G6" s="116">
        <f>GETPIVOTDATA("Sum of NEW-Tot UG SCH Calc",'Pivot Table for Fact Book'!$A$3,"State","AR","type",3,"Type2","Four-Year")</f>
        <v>768421</v>
      </c>
      <c r="H6" s="195">
        <f>GETPIVOTDATA("Sum of OLD-Tot UG SCH Calc",'Pivot Table for Fact Book'!$A$3,"State","AR","type",4,"Type2","Four-Year")</f>
        <v>274430</v>
      </c>
      <c r="I6" s="116">
        <f>GETPIVOTDATA("Sum of NEW-Tot UG SCH Calc",'Pivot Table for Fact Book'!$A$3,"State","AR","type",4,"Type2","Four-Year")</f>
        <v>280066</v>
      </c>
      <c r="J6" s="195">
        <f>GETPIVOTDATA("Sum of OLD-Tot UG SCH Calc",'Pivot Table for Fact Book'!$A$3,"State","AR","type",5,"Type2","Four-Year")</f>
        <v>156473</v>
      </c>
      <c r="K6" s="116">
        <f>GETPIVOTDATA("Sum of NEW-Tot UG SCH Calc",'Pivot Table for Fact Book'!$A$3,"State","AR","type",5,"Type2","Four-Year")</f>
        <v>154608</v>
      </c>
      <c r="L6" s="195">
        <f>GETPIVOTDATA("Sum of OLD-Tot UG SCH Calc",'Pivot Table for Fact Book'!$A$3,"State","AR","type",6,"Type2","Four-Year")</f>
        <v>240325</v>
      </c>
      <c r="M6" s="116">
        <f>GETPIVOTDATA("Sum of NEW-Tot UG SCH Calc",'Pivot Table for Fact Book'!$A$3,"State","AR","type",6,"Type2","Four-Year")</f>
        <v>251217</v>
      </c>
      <c r="N6" s="195">
        <f>GETPIVOTDATA("Sum of OLD-Tot UG SCH Calc",'Pivot Table for Fact Book'!$A$3,"State","AR","type",15,"Type2","Four-Year")</f>
        <v>0</v>
      </c>
      <c r="O6" s="116">
        <f>GETPIVOTDATA("Sum of NEW-Tot UG SCH Calc",'Pivot Table for Fact Book'!$A$3,"State","AR","type",15,"Type2","Four-Year")</f>
        <v>0</v>
      </c>
      <c r="P6" s="196">
        <f>GETPIVOTDATA("Sum of OLD-Tot UG SCH Calc",'Pivot Table for Fact Book'!$A$3,"State","AR","Type2","Four-Year")</f>
        <v>1842286</v>
      </c>
      <c r="Q6" s="196">
        <f>GETPIVOTDATA("Sum of NEW-Tot UG SCH Calc",'Pivot Table for Fact Book'!$A$3,"State","AR","Type2","Four-Year")</f>
        <v>1882762</v>
      </c>
      <c r="R6" s="195">
        <f>GETPIVOTDATA("Sum of OLD-Tot UG SCH Calc",'Pivot Table for Fact Book'!$A$3,"State","AR","type",7,"Type2","Two-Year")</f>
        <v>0</v>
      </c>
      <c r="S6" s="197">
        <f>GETPIVOTDATA("Sum of NEW-Tot UG SCH Calc",'Pivot Table for Fact Book'!$A$3,"State","AR","type",7,"Type2","Two-Year")</f>
        <v>0</v>
      </c>
      <c r="T6" s="197">
        <f>GETPIVOTDATA("Sum of OLD-Tot UG SCH Calc",'Pivot Table for Fact Book'!$A$3,"State","AR","type",8,"Type2","Two-Year")</f>
        <v>183880</v>
      </c>
      <c r="U6" s="197">
        <f>GETPIVOTDATA("Sum of NEW-Tot UG SCH Calc",'Pivot Table for Fact Book'!$A$3,"State","AR","type",8,"Type2","Two-Year")</f>
        <v>190235</v>
      </c>
      <c r="V6" s="197">
        <f>GETPIVOTDATA("Sum of OLD-Tot UG SCH Calc",'Pivot Table for Fact Book'!$A$3,"State","AR","type",9,"Type2","Two-Year")</f>
        <v>209546</v>
      </c>
      <c r="W6" s="197">
        <f>GETPIVOTDATA("Sum of NEW-Tot UG SCH Calc",'Pivot Table for Fact Book'!$A$3,"State","AR","type",9,"Type2","Two-Year")</f>
        <v>231545</v>
      </c>
      <c r="X6" s="197">
        <f>GETPIVOTDATA("Sum of OLD-Tot UG SCH Calc",'Pivot Table for Fact Book'!$A$3,"State","AR","type",10,"Type2","Two-Year")</f>
        <v>642041</v>
      </c>
      <c r="Y6" s="197">
        <f>GETPIVOTDATA("Sum of NEW-Tot UG SCH Calc",'Pivot Table for Fact Book'!$A$3,"State","AR","type",10,"Type2","Two-Year")</f>
        <v>680448</v>
      </c>
      <c r="Z6" s="198">
        <f>GETPIVOTDATA("Sum of OLD-Tot UG SCH Calc",'Pivot Table for Fact Book'!$A$3,"State","AR","Type2","Two-Year")</f>
        <v>1035467</v>
      </c>
      <c r="AA6" s="198">
        <f>GETPIVOTDATA("Sum of NEW-Tot UG SCH Calc",'Pivot Table for Fact Book'!$A$3,"State","AR","Type2","Two-Year")</f>
        <v>1102228</v>
      </c>
      <c r="AB6" s="195">
        <f>GETPIVOTDATA("Sum of OLD-Tot UG SCH Calc",'Pivot Table for Fact Book'!$A$3,"State","AR","type",12,"Type2","Technical")</f>
        <v>0</v>
      </c>
      <c r="AC6" s="197">
        <f>GETPIVOTDATA("Sum of NEW-Tot UG SCH Calc",'Pivot Table for Fact Book'!$A$3,"State","AR","type",12,"Type2","Technical")</f>
        <v>0</v>
      </c>
      <c r="AD6" s="195">
        <f>GETPIVOTDATA("Sum of OLD-Tot UG SCH Calc",'Pivot Table for Fact Book'!$A$3,"State","AR","type",13,"Type2","Technical")</f>
        <v>0</v>
      </c>
      <c r="AE6" s="197">
        <f>GETPIVOTDATA("Sum of NEW-Tot UG SCH Calc",'Pivot Table for Fact Book'!$A$3,"State","AR","type",13,"Type2","Technical")</f>
        <v>0</v>
      </c>
      <c r="AF6" s="195">
        <f>GETPIVOTDATA("Sum of OLD-Tot UG SCH Calc",'Pivot Table for Fact Book'!$A$3,"State","AR","type",14,"Type2","Technical")</f>
        <v>0</v>
      </c>
      <c r="AG6" s="197">
        <f>GETPIVOTDATA("Sum of NEW-Tot UG SCH Calc",'Pivot Table for Fact Book'!$A$3,"State","AR","type",14,"Type2","Technical")</f>
        <v>0</v>
      </c>
      <c r="AH6" s="737">
        <f>GETPIVOTDATA("Sum of OLD-Tot UG SCH Calc",'Pivot Table for Fact Book'!$A$3,"State","AR","Type2","Technical")</f>
        <v>0</v>
      </c>
      <c r="AI6" s="199">
        <f>GETPIVOTDATA("Sum of NEW-Tot UG SCH Calc",'Pivot Table for Fact Book'!$A$3,"State","AR","Type2","Technical")</f>
        <v>0</v>
      </c>
      <c r="AJ6" s="1"/>
    </row>
    <row r="7" spans="1:36">
      <c r="A7" s="175" t="s">
        <v>222</v>
      </c>
      <c r="B7" s="195">
        <f>GETPIVOTDATA("Sum of OLD-Tot UG SCH Calc",'Pivot Table for Fact Book'!$A$3,"State","DE","type",1,"Type2","Four-Year")</f>
        <v>501916</v>
      </c>
      <c r="C7" s="116">
        <f>GETPIVOTDATA("Sum of NEW-Tot UG SCH Calc",'Pivot Table for Fact Book'!$A$3,"State","DE","type",1,"Type2","Four-Year")</f>
        <v>505108</v>
      </c>
      <c r="D7" s="195">
        <f>GETPIVOTDATA("Sum of OLD-Tot UG SCH Calc",'Pivot Table for Fact Book'!$A$3,"State","DE","type",2,"Type2","Four-Year")</f>
        <v>0</v>
      </c>
      <c r="E7" s="116">
        <f>GETPIVOTDATA("Sum of NEW-Tot UG SCH Calc",'Pivot Table for Fact Book'!$A$3,"State","DE","type",2,"Type2","Four-Year")</f>
        <v>0</v>
      </c>
      <c r="F7" s="195">
        <f>GETPIVOTDATA("Sum of OLD-Tot UG SCH Calc",'Pivot Table for Fact Book'!$A$3,"State","DE","type",3,"Type2","Four-Year")</f>
        <v>0</v>
      </c>
      <c r="G7" s="116">
        <f>GETPIVOTDATA("Sum of NEW-Tot UG SCH Calc",'Pivot Table for Fact Book'!$A$3,"State","DE","type",3,"Type2","Four-Year")</f>
        <v>0</v>
      </c>
      <c r="H7" s="195">
        <f>GETPIVOTDATA("Sum of OLD-Tot UG SCH Calc",'Pivot Table for Fact Book'!$A$3,"State","DE","type",4,"Type2","Four-Year")</f>
        <v>0</v>
      </c>
      <c r="I7" s="116">
        <f>GETPIVOTDATA("Sum of NEW-Tot UG SCH Calc",'Pivot Table for Fact Book'!$A$3,"State","DE","type",4,"Type2","Four-Year")</f>
        <v>96583</v>
      </c>
      <c r="J7" s="195">
        <f>GETPIVOTDATA("Sum of OLD-Tot UG SCH Calc",'Pivot Table for Fact Book'!$A$3,"State","DE","type",5,"Type2","Four-Year")</f>
        <v>0</v>
      </c>
      <c r="K7" s="116">
        <f>GETPIVOTDATA("Sum of NEW-Tot UG SCH Calc",'Pivot Table for Fact Book'!$A$3,"State","DE","type",5,"Type2","Four-Year")</f>
        <v>0</v>
      </c>
      <c r="L7" s="195">
        <f>GETPIVOTDATA("Sum of OLD-Tot UG SCH Calc",'Pivot Table for Fact Book'!$A$3,"State","DE","type",6,"Type2","Four-Year")</f>
        <v>0</v>
      </c>
      <c r="M7" s="116">
        <f>GETPIVOTDATA("Sum of NEW-Tot UG SCH Calc",'Pivot Table for Fact Book'!$A$3,"State","DE","type",6,"Type2","Four-Year")</f>
        <v>0</v>
      </c>
      <c r="N7" s="195">
        <f>GETPIVOTDATA("Sum of OLD-Tot UG SCH Calc",'Pivot Table for Fact Book'!$A$3,"State","DE","type",15,"Type2","Four-Year")</f>
        <v>0</v>
      </c>
      <c r="O7" s="116">
        <f>GETPIVOTDATA("Sum of NEW-Tot UG SCH Calc",'Pivot Table for Fact Book'!$A$3,"State","DE","type",15,"Type2","Four-Year")</f>
        <v>0</v>
      </c>
      <c r="P7" s="196">
        <f>GETPIVOTDATA("Sum of OLD-Tot UG SCH Calc",'Pivot Table for Fact Book'!$A$3,"State","DE","Type2","Four-Year")</f>
        <v>501916</v>
      </c>
      <c r="Q7" s="196">
        <f>GETPIVOTDATA("Sum of NEW-Tot UG SCH Calc",'Pivot Table for Fact Book'!$A$3,"State","DE","Type2","Four-Year")</f>
        <v>601691</v>
      </c>
      <c r="R7" s="195">
        <f>GETPIVOTDATA("Sum of OLD-Tot UG SCH Calc",'Pivot Table for Fact Book'!$A$3,"State","DE","type",7,"Type2","Two-Year")</f>
        <v>0</v>
      </c>
      <c r="S7" s="197">
        <f>GETPIVOTDATA("Sum of NEW-Tot UG SCH Calc",'Pivot Table for Fact Book'!$A$3,"State","DE","type",7,"Type2","Two-Year")</f>
        <v>0</v>
      </c>
      <c r="T7" s="197">
        <f>GETPIVOTDATA("Sum of OLD-Tot UG SCH Calc",'Pivot Table for Fact Book'!$A$3,"State","DE","type",8,"Type2","Two-Year")</f>
        <v>0</v>
      </c>
      <c r="U7" s="197">
        <f>GETPIVOTDATA("Sum of NEW-Tot UG SCH Calc",'Pivot Table for Fact Book'!$A$3,"State","DE","type",8,"Type2","Two-Year")</f>
        <v>0</v>
      </c>
      <c r="V7" s="197">
        <f>GETPIVOTDATA("Sum of OLD-Tot UG SCH Calc",'Pivot Table for Fact Book'!$A$3,"State","DE","type",9,"Type2","Two-Year")</f>
        <v>231543</v>
      </c>
      <c r="W7" s="197">
        <f>GETPIVOTDATA("Sum of NEW-Tot UG SCH Calc",'Pivot Table for Fact Book'!$A$3,"State","DE","type",9,"Type2","Two-Year")</f>
        <v>224367</v>
      </c>
      <c r="X7" s="197">
        <f>GETPIVOTDATA("Sum of OLD-Tot UG SCH Calc",'Pivot Table for Fact Book'!$A$3,"State","DE","type",10,"Type2","Two-Year")</f>
        <v>63108</v>
      </c>
      <c r="Y7" s="197">
        <f>GETPIVOTDATA("Sum of NEW-Tot UG SCH Calc",'Pivot Table for Fact Book'!$A$3,"State","DE","type",10,"Type2","Two-Year")</f>
        <v>64910</v>
      </c>
      <c r="Z7" s="198">
        <f>GETPIVOTDATA("Sum of OLD-Tot UG SCH Calc",'Pivot Table for Fact Book'!$A$3,"State","DE","Type2","Two-Year")</f>
        <v>294651</v>
      </c>
      <c r="AA7" s="198">
        <f>GETPIVOTDATA("Sum of NEW-Tot UG SCH Calc",'Pivot Table for Fact Book'!$A$3,"State","DE","Type2","Two-Year")</f>
        <v>289277</v>
      </c>
      <c r="AB7" s="195">
        <f>GETPIVOTDATA("Sum of OLD-Tot UG SCH Calc",'Pivot Table for Fact Book'!$A$3,"State","DE","type",12,"Type2","Technical")</f>
        <v>0</v>
      </c>
      <c r="AC7" s="197">
        <f>GETPIVOTDATA("Sum of NEW-Tot UG SCH Calc",'Pivot Table for Fact Book'!$A$3,"State","DE","type",12,"Type2","Technical")</f>
        <v>0</v>
      </c>
      <c r="AD7" s="195">
        <f>GETPIVOTDATA("Sum of OLD-Tot UG SCH Calc",'Pivot Table for Fact Book'!$A$3,"State","DE","type",13,"Type2","Technical")</f>
        <v>0</v>
      </c>
      <c r="AE7" s="197">
        <f>GETPIVOTDATA("Sum of NEW-Tot UG SCH Calc",'Pivot Table for Fact Book'!$A$3,"State","DE","type",13,"Type2","Technical")</f>
        <v>0</v>
      </c>
      <c r="AF7" s="195">
        <f>GETPIVOTDATA("Sum of OLD-Tot UG SCH Calc",'Pivot Table for Fact Book'!$A$3,"State","DE","type",14,"Type2","Technical")</f>
        <v>0</v>
      </c>
      <c r="AG7" s="197">
        <f>GETPIVOTDATA("Sum of NEW-Tot UG SCH Calc",'Pivot Table for Fact Book'!$A$3,"State","DE","type",14,"Type2","Technical")</f>
        <v>0</v>
      </c>
      <c r="AH7" s="737">
        <f>GETPIVOTDATA("Sum of OLD-Tot UG SCH Calc",'Pivot Table for Fact Book'!$A$3,"State","DE","Type2","Technical")</f>
        <v>0</v>
      </c>
      <c r="AI7" s="199">
        <f>GETPIVOTDATA("Sum of NEW-Tot UG SCH Calc",'Pivot Table for Fact Book'!$A$3,"State","DE","Type2","Technical")</f>
        <v>0</v>
      </c>
      <c r="AJ7" s="1"/>
    </row>
    <row r="8" spans="1:36">
      <c r="A8" s="175" t="s">
        <v>223</v>
      </c>
      <c r="B8" s="195">
        <f>GETPIVOTDATA("Sum of OLD-Tot UG SCH Calc",'Pivot Table for Fact Book'!$A$3,"State","FL","type",1,"Type2","Four-Year")</f>
        <v>3951536</v>
      </c>
      <c r="C8" s="116">
        <f>GETPIVOTDATA("Sum of NEW-Tot UG SCH Calc",'Pivot Table for Fact Book'!$A$3,"State","FL","type",1,"Type2","Four-Year")</f>
        <v>3989578</v>
      </c>
      <c r="D8" s="195">
        <f>GETPIVOTDATA("Sum of OLD-Tot UG SCH Calc",'Pivot Table for Fact Book'!$A$3,"State","FL","type",2,"Type2","Four-Year")</f>
        <v>1349107</v>
      </c>
      <c r="E8" s="116">
        <f>GETPIVOTDATA("Sum of NEW-Tot UG SCH Calc",'Pivot Table for Fact Book'!$A$3,"State","FL","type",2,"Type2","Four-Year")</f>
        <v>1315952</v>
      </c>
      <c r="F8" s="195">
        <f>GETPIVOTDATA("Sum of OLD-Tot UG SCH Calc",'Pivot Table for Fact Book'!$A$3,"State","FL","type",3,"Type2","Four-Year")</f>
        <v>866985</v>
      </c>
      <c r="G8" s="116">
        <f>GETPIVOTDATA("Sum of NEW-Tot UG SCH Calc",'Pivot Table for Fact Book'!$A$3,"State","FL","type",3,"Type2","Four-Year")</f>
        <v>852822</v>
      </c>
      <c r="H8" s="195">
        <f>GETPIVOTDATA("Sum of OLD-Tot UG SCH Calc",'Pivot Table for Fact Book'!$A$3,"State","FL","type",4,"Type2","Four-Year")</f>
        <v>197014</v>
      </c>
      <c r="I8" s="116">
        <f>GETPIVOTDATA("Sum of NEW-Tot UG SCH Calc",'Pivot Table for Fact Book'!$A$3,"State","FL","type",4,"Type2","Four-Year")</f>
        <v>221970</v>
      </c>
      <c r="J8" s="195">
        <f>GETPIVOTDATA("Sum of OLD-Tot UG SCH Calc",'Pivot Table for Fact Book'!$A$3,"State","FL","type",5,"Type2","Four-Year")</f>
        <v>0</v>
      </c>
      <c r="K8" s="116">
        <f>GETPIVOTDATA("Sum of NEW-Tot UG SCH Calc",'Pivot Table for Fact Book'!$A$3,"State","FL","type",5,"Type2","Four-Year")</f>
        <v>0</v>
      </c>
      <c r="L8" s="195">
        <f>GETPIVOTDATA("Sum of OLD-Tot UG SCH Calc",'Pivot Table for Fact Book'!$A$3,"State","FL","type",6,"Type2","Four-Year")</f>
        <v>25748</v>
      </c>
      <c r="M8" s="116">
        <f>GETPIVOTDATA("Sum of NEW-Tot UG SCH Calc",'Pivot Table for Fact Book'!$A$3,"State","FL","type",6,"Type2","Four-Year")</f>
        <v>26784</v>
      </c>
      <c r="N8" s="195">
        <f>GETPIVOTDATA("Sum of OLD-Tot UG SCH Calc",'Pivot Table for Fact Book'!$A$3,"State","FL","type",15,"Type2","Four-Year")</f>
        <v>0</v>
      </c>
      <c r="O8" s="116">
        <f>GETPIVOTDATA("Sum of NEW-Tot UG SCH Calc",'Pivot Table for Fact Book'!$A$3,"State","FL","type",15,"Type2","Four-Year")</f>
        <v>0</v>
      </c>
      <c r="P8" s="196">
        <f>GETPIVOTDATA("Sum of OLD-Tot UG SCH Calc",'Pivot Table for Fact Book'!$A$3,"State","FL","Type2","Four-Year")</f>
        <v>6390390</v>
      </c>
      <c r="Q8" s="196">
        <f>GETPIVOTDATA("Sum of NEW-Tot UG SCH Calc",'Pivot Table for Fact Book'!$A$3,"State","FL","Type2","Four-Year")</f>
        <v>6407106</v>
      </c>
      <c r="R8" s="195">
        <f>GETPIVOTDATA("Sum of OLD-Tot UG SCH Calc",'Pivot Table for Fact Book'!$A$3,"State","FL","type",7,"Type2","Two-Year")</f>
        <v>1959690</v>
      </c>
      <c r="S8" s="197">
        <f>GETPIVOTDATA("Sum of NEW-Tot UG SCH Calc",'Pivot Table for Fact Book'!$A$3,"State","FL","type",7,"Type2","Two-Year")</f>
        <v>2075005</v>
      </c>
      <c r="T8" s="197">
        <f>GETPIVOTDATA("Sum of OLD-Tot UG SCH Calc",'Pivot Table for Fact Book'!$A$3,"State","FL","type",8,"Type2","Two-Year")</f>
        <v>5073799</v>
      </c>
      <c r="U8" s="197">
        <f>GETPIVOTDATA("Sum of NEW-Tot UG SCH Calc",'Pivot Table for Fact Book'!$A$3,"State","FL","type",8,"Type2","Two-Year")</f>
        <v>5523854</v>
      </c>
      <c r="V8" s="197">
        <f>GETPIVOTDATA("Sum of OLD-Tot UG SCH Calc",'Pivot Table for Fact Book'!$A$3,"State","FL","type",9,"Type2","Two-Year")</f>
        <v>647372</v>
      </c>
      <c r="W8" s="197">
        <f>GETPIVOTDATA("Sum of NEW-Tot UG SCH Calc",'Pivot Table for Fact Book'!$A$3,"State","FL","type",9,"Type2","Two-Year")</f>
        <v>709117</v>
      </c>
      <c r="X8" s="197">
        <f>GETPIVOTDATA("Sum of OLD-Tot UG SCH Calc",'Pivot Table for Fact Book'!$A$3,"State","FL","type",10,"Type2","Two-Year")</f>
        <v>44244</v>
      </c>
      <c r="Y8" s="197">
        <f>GETPIVOTDATA("Sum of NEW-Tot UG SCH Calc",'Pivot Table for Fact Book'!$A$3,"State","FL","type",10,"Type2","Two-Year")</f>
        <v>46494</v>
      </c>
      <c r="Z8" s="198">
        <f>GETPIVOTDATA("Sum of OLD-Tot UG SCH Calc",'Pivot Table for Fact Book'!$A$3,"State","FL","Type2","Two-Year")</f>
        <v>7725105</v>
      </c>
      <c r="AA8" s="198">
        <f>GETPIVOTDATA("Sum of NEW-Tot UG SCH Calc",'Pivot Table for Fact Book'!$A$3,"State","FL","Type2","Two-Year")</f>
        <v>8354470</v>
      </c>
      <c r="AB8" s="195">
        <f>GETPIVOTDATA("Sum of OLD-Tot UG SCH Calc",'Pivot Table for Fact Book'!$A$3,"State","FL","type",12,"Type2","Technical")</f>
        <v>0</v>
      </c>
      <c r="AC8" s="197">
        <f>GETPIVOTDATA("Sum of NEW-Tot UG SCH Calc",'Pivot Table for Fact Book'!$A$3,"State","FL","type",12,"Type2","Technical")</f>
        <v>0</v>
      </c>
      <c r="AD8" s="195">
        <f>GETPIVOTDATA("Sum of OLD-Tot UG SCH Calc",'Pivot Table for Fact Book'!$A$3,"State","FL","type",13,"Type2","Technical")</f>
        <v>0</v>
      </c>
      <c r="AE8" s="197">
        <f>GETPIVOTDATA("Sum of NEW-Tot UG SCH Calc",'Pivot Table for Fact Book'!$A$3,"State","FL","type",13,"Type2","Technical")</f>
        <v>0</v>
      </c>
      <c r="AF8" s="195">
        <f>GETPIVOTDATA("Sum of OLD-Tot UG SCH Calc",'Pivot Table for Fact Book'!$A$3,"State","FL","type",14,"Type2","Technical")</f>
        <v>0</v>
      </c>
      <c r="AG8" s="197">
        <f>GETPIVOTDATA("Sum of NEW-Tot UG SCH Calc",'Pivot Table for Fact Book'!$A$3,"State","FL","type",14,"Type2","Technical")</f>
        <v>0</v>
      </c>
      <c r="AH8" s="737">
        <f>GETPIVOTDATA("Sum of OLD-Tot UG SCH Calc",'Pivot Table for Fact Book'!$A$3,"State","FL","Type2","Technical")</f>
        <v>0</v>
      </c>
      <c r="AI8" s="199">
        <f>GETPIVOTDATA("Sum of NEW-Tot UG SCH Calc",'Pivot Table for Fact Book'!$A$3,"State","FL","Type2","Technical")</f>
        <v>0</v>
      </c>
      <c r="AJ8" s="1"/>
    </row>
    <row r="9" spans="1:36">
      <c r="A9" s="175" t="s">
        <v>224</v>
      </c>
      <c r="B9" s="195">
        <f>GETPIVOTDATA("Sum of OLD-Tot UG SCH Calc",'Pivot Table for Fact Book'!$A$3,"State","GA","type",1,"Type2","Four-Year")</f>
        <v>1273506.7</v>
      </c>
      <c r="C9" s="116">
        <f>GETPIVOTDATA("Sum of NEW-Tot UG SCH Calc",'Pivot Table for Fact Book'!$A$3,"State","GA","type",1,"Type2","Four-Year")</f>
        <v>1304700.8</v>
      </c>
      <c r="D9" s="195">
        <f>GETPIVOTDATA("Sum of OLD-Tot UG SCH Calc",'Pivot Table for Fact Book'!$A$3,"State","GA","type",2,"Type2","Four-Year")</f>
        <v>377828.5</v>
      </c>
      <c r="E9" s="116">
        <f>GETPIVOTDATA("Sum of NEW-Tot UG SCH Calc",'Pivot Table for Fact Book'!$A$3,"State","GA","type",2,"Type2","Four-Year")</f>
        <v>384214</v>
      </c>
      <c r="F9" s="195">
        <f>GETPIVOTDATA("Sum of OLD-Tot UG SCH Calc",'Pivot Table for Fact Book'!$A$3,"State","GA","type",3,"Type2","Four-Year")</f>
        <v>941543</v>
      </c>
      <c r="G9" s="116">
        <f>GETPIVOTDATA("Sum of NEW-Tot UG SCH Calc",'Pivot Table for Fact Book'!$A$3,"State","GA","type",3,"Type2","Four-Year")</f>
        <v>974121</v>
      </c>
      <c r="H9" s="195">
        <f>GETPIVOTDATA("Sum of OLD-Tot UG SCH Calc",'Pivot Table for Fact Book'!$A$3,"State","GA","type",4,"Type2","Four-Year")</f>
        <v>1060368.96</v>
      </c>
      <c r="I9" s="116">
        <f>GETPIVOTDATA("Sum of NEW-Tot UG SCH Calc",'Pivot Table for Fact Book'!$A$3,"State","GA","type",4,"Type2","Four-Year")</f>
        <v>1077874.8799999999</v>
      </c>
      <c r="J9" s="195">
        <f>GETPIVOTDATA("Sum of OLD-Tot UG SCH Calc",'Pivot Table for Fact Book'!$A$3,"State","GA","type",5,"Type2","Four-Year")</f>
        <v>488223</v>
      </c>
      <c r="K9" s="116">
        <f>GETPIVOTDATA("Sum of NEW-Tot UG SCH Calc",'Pivot Table for Fact Book'!$A$3,"State","GA","type",5,"Type2","Four-Year")</f>
        <v>504760</v>
      </c>
      <c r="L9" s="195">
        <f>GETPIVOTDATA("Sum of OLD-Tot UG SCH Calc",'Pivot Table for Fact Book'!$A$3,"State","GA","type",6,"Type2","Four-Year")</f>
        <v>294287</v>
      </c>
      <c r="M9" s="116">
        <f>GETPIVOTDATA("Sum of NEW-Tot UG SCH Calc",'Pivot Table for Fact Book'!$A$3,"State","GA","type",6,"Type2","Four-Year")</f>
        <v>284153</v>
      </c>
      <c r="N9" s="195">
        <f>GETPIVOTDATA("Sum of OLD-Tot UG SCH Calc",'Pivot Table for Fact Book'!$A$3,"State","GA","type",15,"Type2","Four-Year")</f>
        <v>10692</v>
      </c>
      <c r="O9" s="116">
        <f>GETPIVOTDATA("Sum of NEW-Tot UG SCH Calc",'Pivot Table for Fact Book'!$A$3,"State","GA","type",15,"Type2","Four-Year")</f>
        <v>30979</v>
      </c>
      <c r="P9" s="196">
        <f>GETPIVOTDATA("Sum of OLD-Tot UG SCH Calc",'Pivot Table for Fact Book'!$A$3,"State","GA","Type2","Four-Year")</f>
        <v>4446449.16</v>
      </c>
      <c r="Q9" s="196">
        <f>GETPIVOTDATA("Sum of NEW-Tot UG SCH Calc",'Pivot Table for Fact Book'!$A$3,"State","GA","Type2","Four-Year")</f>
        <v>4560802.68</v>
      </c>
      <c r="R9" s="195">
        <f>GETPIVOTDATA("Sum of OLD-Tot UG SCH Calc",'Pivot Table for Fact Book'!$A$3,"State","GA","type",7,"Type2","Two-Year")</f>
        <v>95345</v>
      </c>
      <c r="S9" s="197">
        <f>GETPIVOTDATA("Sum of NEW-Tot UG SCH Calc",'Pivot Table for Fact Book'!$A$3,"State","GA","type",7,"Type2","Two-Year")</f>
        <v>104245</v>
      </c>
      <c r="T9" s="197">
        <f>GETPIVOTDATA("Sum of OLD-Tot UG SCH Calc",'Pivot Table for Fact Book'!$A$3,"State","GA","type",8,"Type2","Two-Year")</f>
        <v>484348</v>
      </c>
      <c r="U9" s="197">
        <f>GETPIVOTDATA("Sum of NEW-Tot UG SCH Calc",'Pivot Table for Fact Book'!$A$3,"State","GA","type",8,"Type2","Two-Year")</f>
        <v>497463</v>
      </c>
      <c r="V9" s="197">
        <f>GETPIVOTDATA("Sum of OLD-Tot UG SCH Calc",'Pivot Table for Fact Book'!$A$3,"State","GA","type",9,"Type2","Two-Year")</f>
        <v>754095.5</v>
      </c>
      <c r="W9" s="197">
        <f>GETPIVOTDATA("Sum of NEW-Tot UG SCH Calc",'Pivot Table for Fact Book'!$A$3,"State","GA","type",9,"Type2","Two-Year")</f>
        <v>792724.5</v>
      </c>
      <c r="X9" s="197">
        <f>GETPIVOTDATA("Sum of OLD-Tot UG SCH Calc",'Pivot Table for Fact Book'!$A$3,"State","GA","type",10,"Type2","Two-Year")</f>
        <v>152935</v>
      </c>
      <c r="Y9" s="197">
        <f>GETPIVOTDATA("Sum of NEW-Tot UG SCH Calc",'Pivot Table for Fact Book'!$A$3,"State","GA","type",10,"Type2","Two-Year")</f>
        <v>175002</v>
      </c>
      <c r="Z9" s="198">
        <f>GETPIVOTDATA("Sum of OLD-Tot UG SCH Calc",'Pivot Table for Fact Book'!$A$3,"State","GA","Type2","Two-Year")</f>
        <v>1486723.5</v>
      </c>
      <c r="AA9" s="198">
        <f>GETPIVOTDATA("Sum of NEW-Tot UG SCH Calc",'Pivot Table for Fact Book'!$A$3,"State","GA","Type2","Two-Year")</f>
        <v>1569434.5</v>
      </c>
      <c r="AB9" s="195">
        <f>GETPIVOTDATA("Sum of OLD-Tot UG SCH Calc",'Pivot Table for Fact Book'!$A$3,"State","GA","type",12,"Type2","Technical")</f>
        <v>2914530.8</v>
      </c>
      <c r="AC9" s="197">
        <f>GETPIVOTDATA("Sum of NEW-Tot UG SCH Calc",'Pivot Table for Fact Book'!$A$3,"State","GA","type",12,"Type2","Technical")</f>
        <v>3064488.3</v>
      </c>
      <c r="AD9" s="195">
        <f>GETPIVOTDATA("Sum of OLD-Tot UG SCH Calc",'Pivot Table for Fact Book'!$A$3,"State","GA","type",13,"Type2","Technical")</f>
        <v>192925.9</v>
      </c>
      <c r="AE9" s="197">
        <f>GETPIVOTDATA("Sum of NEW-Tot UG SCH Calc",'Pivot Table for Fact Book'!$A$3,"State","GA","type",13,"Type2","Technical")</f>
        <v>194497.9</v>
      </c>
      <c r="AF9" s="195">
        <f>GETPIVOTDATA("Sum of OLD-Tot UG SCH Calc",'Pivot Table for Fact Book'!$A$3,"State","GA","type",14,"Type2","Technical")</f>
        <v>0</v>
      </c>
      <c r="AG9" s="197">
        <f>GETPIVOTDATA("Sum of NEW-Tot UG SCH Calc",'Pivot Table for Fact Book'!$A$3,"State","GA","type",14,"Type2","Technical")</f>
        <v>0</v>
      </c>
      <c r="AH9" s="737">
        <f>GETPIVOTDATA("Sum of OLD-Tot UG SCH Calc",'Pivot Table for Fact Book'!$A$3,"State","GA","Type2","Technical")</f>
        <v>3107456.6999999997</v>
      </c>
      <c r="AI9" s="199">
        <f>GETPIVOTDATA("Sum of NEW-Tot UG SCH Calc",'Pivot Table for Fact Book'!$A$3,"State","GA","Type2","Technical")</f>
        <v>3258986.1999999997</v>
      </c>
      <c r="AJ9" s="1"/>
    </row>
    <row r="10" spans="1:36">
      <c r="A10" s="175" t="s">
        <v>225</v>
      </c>
      <c r="B10" s="195">
        <f>GETPIVOTDATA("Sum of OLD-Tot UG SCH Calc",'Pivot Table for Fact Book'!$A$3,"State","KY","type",1,"Type2","Four-Year")</f>
        <v>870934</v>
      </c>
      <c r="C10" s="116">
        <f>GETPIVOTDATA("Sum of NEW-Tot UG SCH Calc",'Pivot Table for Fact Book'!$A$3,"State","KY","type",1,"Type2","Four-Year")</f>
        <v>902564</v>
      </c>
      <c r="D10" s="195">
        <f>GETPIVOTDATA("Sum of OLD-Tot UG SCH Calc",'Pivot Table for Fact Book'!$A$3,"State","KY","type",2,"Type2","Four-Year")</f>
        <v>0</v>
      </c>
      <c r="E10" s="116">
        <f>GETPIVOTDATA("Sum of NEW-Tot UG SCH Calc",'Pivot Table for Fact Book'!$A$3,"State","KY","type",2,"Type2","Four-Year")</f>
        <v>0</v>
      </c>
      <c r="F10" s="195">
        <f>GETPIVOTDATA("Sum of OLD-Tot UG SCH Calc",'Pivot Table for Fact Book'!$A$3,"State","KY","type",3,"Type2","Four-Year")</f>
        <v>1022789</v>
      </c>
      <c r="G10" s="116">
        <f>GETPIVOTDATA("Sum of NEW-Tot UG SCH Calc",'Pivot Table for Fact Book'!$A$3,"State","KY","type",3,"Type2","Four-Year")</f>
        <v>1030576</v>
      </c>
      <c r="H10" s="195">
        <f>GETPIVOTDATA("Sum of OLD-Tot UG SCH Calc",'Pivot Table for Fact Book'!$A$3,"State","KY","type",4,"Type2","Four-Year")</f>
        <v>505459</v>
      </c>
      <c r="I10" s="116">
        <f>GETPIVOTDATA("Sum of NEW-Tot UG SCH Calc",'Pivot Table for Fact Book'!$A$3,"State","KY","type",4,"Type2","Four-Year")</f>
        <v>511452</v>
      </c>
      <c r="J10" s="195">
        <f>GETPIVOTDATA("Sum of OLD-Tot UG SCH Calc",'Pivot Table for Fact Book'!$A$3,"State","KY","type",5,"Type2","Four-Year")</f>
        <v>61135</v>
      </c>
      <c r="K10" s="116">
        <f>GETPIVOTDATA("Sum of NEW-Tot UG SCH Calc",'Pivot Table for Fact Book'!$A$3,"State","KY","type",5,"Type2","Four-Year")</f>
        <v>62327</v>
      </c>
      <c r="L10" s="195">
        <f>GETPIVOTDATA("Sum of OLD-Tot UG SCH Calc",'Pivot Table for Fact Book'!$A$3,"State","KY","type",6,"Type2","Four-Year")</f>
        <v>0</v>
      </c>
      <c r="M10" s="116">
        <f>GETPIVOTDATA("Sum of NEW-Tot UG SCH Calc",'Pivot Table for Fact Book'!$A$3,"State","KY","type",6,"Type2","Four-Year")</f>
        <v>0</v>
      </c>
      <c r="N10" s="195">
        <f>GETPIVOTDATA("Sum of OLD-Tot UG SCH Calc",'Pivot Table for Fact Book'!$A$3,"State","KY","type",15,"Type2","Four-Year")</f>
        <v>0</v>
      </c>
      <c r="O10" s="116">
        <f>GETPIVOTDATA("Sum of NEW-Tot UG SCH Calc",'Pivot Table for Fact Book'!$A$3,"State","KY","type",15,"Type2","Four-Year")</f>
        <v>0</v>
      </c>
      <c r="P10" s="196">
        <f>GETPIVOTDATA("Sum of OLD-Tot UG SCH Calc",'Pivot Table for Fact Book'!$A$3,"State","KY","Type2","Four-Year")</f>
        <v>2460317</v>
      </c>
      <c r="Q10" s="196">
        <f>GETPIVOTDATA("Sum of NEW-Tot UG SCH Calc",'Pivot Table for Fact Book'!$A$3,"State","KY","Type2","Four-Year")</f>
        <v>2506919</v>
      </c>
      <c r="R10" s="195">
        <f>GETPIVOTDATA("Sum of OLD-Tot UG SCH Calc",'Pivot Table for Fact Book'!$A$3,"State","KY","type",7,"Type2","Two-Year")</f>
        <v>0</v>
      </c>
      <c r="S10" s="197">
        <f>GETPIVOTDATA("Sum of NEW-Tot UG SCH Calc",'Pivot Table for Fact Book'!$A$3,"State","KY","type",7,"Type2","Two-Year")</f>
        <v>0</v>
      </c>
      <c r="T10" s="197">
        <f>GETPIVOTDATA("Sum of OLD-Tot UG SCH Calc",'Pivot Table for Fact Book'!$A$3,"State","KY","type",8,"Type2","Two-Year")</f>
        <v>456459</v>
      </c>
      <c r="U10" s="197">
        <f>GETPIVOTDATA("Sum of NEW-Tot UG SCH Calc",'Pivot Table for Fact Book'!$A$3,"State","KY","type",8,"Type2","Two-Year")</f>
        <v>474840</v>
      </c>
      <c r="V10" s="197">
        <f>GETPIVOTDATA("Sum of OLD-Tot UG SCH Calc",'Pivot Table for Fact Book'!$A$3,"State","KY","type",9,"Type2","Two-Year")</f>
        <v>703316</v>
      </c>
      <c r="W10" s="197">
        <f>GETPIVOTDATA("Sum of NEW-Tot UG SCH Calc",'Pivot Table for Fact Book'!$A$3,"State","KY","type",9,"Type2","Two-Year")</f>
        <v>721617</v>
      </c>
      <c r="X10" s="197">
        <f>GETPIVOTDATA("Sum of OLD-Tot UG SCH Calc",'Pivot Table for Fact Book'!$A$3,"State","KY","type",10,"Type2","Two-Year")</f>
        <v>144905</v>
      </c>
      <c r="Y10" s="197">
        <f>GETPIVOTDATA("Sum of NEW-Tot UG SCH Calc",'Pivot Table for Fact Book'!$A$3,"State","KY","type",10,"Type2","Two-Year")</f>
        <v>148500</v>
      </c>
      <c r="Z10" s="198">
        <f>GETPIVOTDATA("Sum of OLD-Tot UG SCH Calc",'Pivot Table for Fact Book'!$A$3,"State","KY","Type2","Two-Year")</f>
        <v>1304680</v>
      </c>
      <c r="AA10" s="198">
        <f>GETPIVOTDATA("Sum of NEW-Tot UG SCH Calc",'Pivot Table for Fact Book'!$A$3,"State","KY","Type2","Two-Year")</f>
        <v>1344957</v>
      </c>
      <c r="AB10" s="195">
        <f>GETPIVOTDATA("Sum of OLD-Tot UG SCH Calc",'Pivot Table for Fact Book'!$A$3,"State","KY","type",12,"Type2","Technical")</f>
        <v>84011</v>
      </c>
      <c r="AC10" s="197">
        <f>GETPIVOTDATA("Sum of NEW-Tot UG SCH Calc",'Pivot Table for Fact Book'!$A$3,"State","KY","type",12,"Type2","Technical")</f>
        <v>87861</v>
      </c>
      <c r="AD10" s="195">
        <f>GETPIVOTDATA("Sum of OLD-Tot UG SCH Calc",'Pivot Table for Fact Book'!$A$3,"State","KY","type",13,"Type2","Technical")</f>
        <v>0</v>
      </c>
      <c r="AE10" s="197">
        <f>GETPIVOTDATA("Sum of NEW-Tot UG SCH Calc",'Pivot Table for Fact Book'!$A$3,"State","KY","type",13,"Type2","Technical")</f>
        <v>0</v>
      </c>
      <c r="AF10" s="195">
        <f>GETPIVOTDATA("Sum of OLD-Tot UG SCH Calc",'Pivot Table for Fact Book'!$A$3,"State","KY","type",14,"Type2","Technical")</f>
        <v>0</v>
      </c>
      <c r="AG10" s="197">
        <f>GETPIVOTDATA("Sum of NEW-Tot UG SCH Calc",'Pivot Table for Fact Book'!$A$3,"State","KY","type",14,"Type2","Technical")</f>
        <v>0</v>
      </c>
      <c r="AH10" s="737">
        <f>GETPIVOTDATA("Sum of OLD-Tot UG SCH Calc",'Pivot Table for Fact Book'!$A$3,"State","KY","Type2","Technical")</f>
        <v>84011</v>
      </c>
      <c r="AI10" s="199">
        <f>GETPIVOTDATA("Sum of NEW-Tot UG SCH Calc",'Pivot Table for Fact Book'!$A$3,"State","KY","Type2","Technical")</f>
        <v>87861</v>
      </c>
      <c r="AJ10" s="1"/>
    </row>
    <row r="11" spans="1:36">
      <c r="A11" s="175" t="s">
        <v>226</v>
      </c>
      <c r="B11" s="195">
        <f>GETPIVOTDATA("Sum of OLD-Tot UG SCH Calc",'Pivot Table for Fact Book'!$A$3,"State","LA","type",1,"Type2","Four-Year")</f>
        <v>734051</v>
      </c>
      <c r="C11" s="116">
        <f>GETPIVOTDATA("Sum of NEW-Tot UG SCH Calc",'Pivot Table for Fact Book'!$A$3,"State","LA","type",1,"Type2","Four-Year")</f>
        <v>755896</v>
      </c>
      <c r="D11" s="195">
        <f>GETPIVOTDATA("Sum of OLD-Tot UG SCH Calc",'Pivot Table for Fact Book'!$A$3,"State","LA","type",2,"Type2","Four-Year")</f>
        <v>877540</v>
      </c>
      <c r="E11" s="116">
        <f>GETPIVOTDATA("Sum of NEW-Tot UG SCH Calc",'Pivot Table for Fact Book'!$A$3,"State","LA","type",2,"Type2","Four-Year")</f>
        <v>870714</v>
      </c>
      <c r="F11" s="195">
        <f>GETPIVOTDATA("Sum of OLD-Tot UG SCH Calc",'Pivot Table for Fact Book'!$A$3,"State","LA","type",3,"Type2","Four-Year")</f>
        <v>800806</v>
      </c>
      <c r="G11" s="116">
        <f>GETPIVOTDATA("Sum of NEW-Tot UG SCH Calc",'Pivot Table for Fact Book'!$A$3,"State","LA","type",3,"Type2","Four-Year")</f>
        <v>807414</v>
      </c>
      <c r="H11" s="195">
        <f>GETPIVOTDATA("Sum of OLD-Tot UG SCH Calc",'Pivot Table for Fact Book'!$A$3,"State","LA","type",4,"Type2","Four-Year")</f>
        <v>820354</v>
      </c>
      <c r="I11" s="116">
        <f>GETPIVOTDATA("Sum of NEW-Tot UG SCH Calc",'Pivot Table for Fact Book'!$A$3,"State","LA","type",4,"Type2","Four-Year")</f>
        <v>905728</v>
      </c>
      <c r="J11" s="195">
        <f>GETPIVOTDATA("Sum of OLD-Tot UG SCH Calc",'Pivot Table for Fact Book'!$A$3,"State","LA","type",5,"Type2","Four-Year")</f>
        <v>51998</v>
      </c>
      <c r="K11" s="116">
        <f>GETPIVOTDATA("Sum of NEW-Tot UG SCH Calc",'Pivot Table for Fact Book'!$A$3,"State","LA","type",5,"Type2","Four-Year")</f>
        <v>60291</v>
      </c>
      <c r="L11" s="195">
        <f>GETPIVOTDATA("Sum of OLD-Tot UG SCH Calc",'Pivot Table for Fact Book'!$A$3,"State","LA","type",6,"Type2","Four-Year")</f>
        <v>0</v>
      </c>
      <c r="M11" s="116">
        <f>GETPIVOTDATA("Sum of NEW-Tot UG SCH Calc",'Pivot Table for Fact Book'!$A$3,"State","LA","type",6,"Type2","Four-Year")</f>
        <v>0</v>
      </c>
      <c r="N11" s="195">
        <f>GETPIVOTDATA("Sum of OLD-Tot UG SCH Calc",'Pivot Table for Fact Book'!$A$3,"State","LA","type",15,"Type2","Four-Year")</f>
        <v>0</v>
      </c>
      <c r="O11" s="116">
        <f>GETPIVOTDATA("Sum of NEW-Tot UG SCH Calc",'Pivot Table for Fact Book'!$A$3,"State","LA","type",15,"Type2","Four-Year")</f>
        <v>0</v>
      </c>
      <c r="P11" s="196">
        <f>GETPIVOTDATA("Sum of OLD-Tot UG SCH Calc",'Pivot Table for Fact Book'!$A$3,"State","LA","Type2","Four-Year")</f>
        <v>3284749</v>
      </c>
      <c r="Q11" s="196">
        <f>GETPIVOTDATA("Sum of NEW-Tot UG SCH Calc",'Pivot Table for Fact Book'!$A$3,"State","LA","Type2","Four-Year")</f>
        <v>3400043</v>
      </c>
      <c r="R11" s="195">
        <f>GETPIVOTDATA("Sum of OLD-Tot UG SCH Calc",'Pivot Table for Fact Book'!$A$3,"State","LA","type",7,"Type2","Two-Year")</f>
        <v>57778</v>
      </c>
      <c r="S11" s="197">
        <f>GETPIVOTDATA("Sum of NEW-Tot UG SCH Calc",'Pivot Table for Fact Book'!$A$3,"State","LA","type",7,"Type2","Two-Year")</f>
        <v>59004</v>
      </c>
      <c r="T11" s="197">
        <f>GETPIVOTDATA("Sum of OLD-Tot UG SCH Calc",'Pivot Table for Fact Book'!$A$3,"State","LA","type",8,"Type2","Two-Year")</f>
        <v>267144</v>
      </c>
      <c r="U11" s="197">
        <f>GETPIVOTDATA("Sum of NEW-Tot UG SCH Calc",'Pivot Table for Fact Book'!$A$3,"State","LA","type",8,"Type2","Two-Year")</f>
        <v>308612</v>
      </c>
      <c r="V11" s="197">
        <f>GETPIVOTDATA("Sum of OLD-Tot UG SCH Calc",'Pivot Table for Fact Book'!$A$3,"State","LA","type",9,"Type2","Two-Year")</f>
        <v>306799</v>
      </c>
      <c r="W11" s="197">
        <f>GETPIVOTDATA("Sum of NEW-Tot UG SCH Calc",'Pivot Table for Fact Book'!$A$3,"State","LA","type",9,"Type2","Two-Year")</f>
        <v>344402</v>
      </c>
      <c r="X11" s="197">
        <f>GETPIVOTDATA("Sum of OLD-Tot UG SCH Calc",'Pivot Table for Fact Book'!$A$3,"State","LA","type",10,"Type2","Two-Year")</f>
        <v>176728</v>
      </c>
      <c r="Y11" s="197">
        <f>GETPIVOTDATA("Sum of NEW-Tot UG SCH Calc",'Pivot Table for Fact Book'!$A$3,"State","LA","type",10,"Type2","Two-Year")</f>
        <v>204018</v>
      </c>
      <c r="Z11" s="198">
        <f>GETPIVOTDATA("Sum of OLD-Tot UG SCH Calc",'Pivot Table for Fact Book'!$A$3,"State","LA","Type2","Two-Year")</f>
        <v>808449</v>
      </c>
      <c r="AA11" s="198">
        <f>GETPIVOTDATA("Sum of NEW-Tot UG SCH Calc",'Pivot Table for Fact Book'!$A$3,"State","LA","Type2","Two-Year")</f>
        <v>916036</v>
      </c>
      <c r="AB11" s="195">
        <f>GETPIVOTDATA("Sum of OLD-Tot UG SCH Calc",'Pivot Table for Fact Book'!$A$3,"State","LA","type",12,"Type2","Technical")</f>
        <v>42229</v>
      </c>
      <c r="AC11" s="197">
        <f>GETPIVOTDATA("Sum of NEW-Tot UG SCH Calc",'Pivot Table for Fact Book'!$A$3,"State","LA","type",12,"Type2","Technical")</f>
        <v>43753</v>
      </c>
      <c r="AD11" s="195">
        <f>GETPIVOTDATA("Sum of OLD-Tot UG SCH Calc",'Pivot Table for Fact Book'!$A$3,"State","LA","type",13,"Type2","Technical")</f>
        <v>23674.5</v>
      </c>
      <c r="AE11" s="197">
        <f>GETPIVOTDATA("Sum of NEW-Tot UG SCH Calc",'Pivot Table for Fact Book'!$A$3,"State","LA","type",13,"Type2","Technical")</f>
        <v>27636.5</v>
      </c>
      <c r="AF11" s="195">
        <f>GETPIVOTDATA("Sum of OLD-Tot UG SCH Calc",'Pivot Table for Fact Book'!$A$3,"State","LA","type",14,"Type2","Technical")</f>
        <v>389826</v>
      </c>
      <c r="AG11" s="197">
        <f>GETPIVOTDATA("Sum of NEW-Tot UG SCH Calc",'Pivot Table for Fact Book'!$A$3,"State","LA","type",14,"Type2","Technical")</f>
        <v>422560.5</v>
      </c>
      <c r="AH11" s="737">
        <f>GETPIVOTDATA("Sum of OLD-Tot UG SCH Calc",'Pivot Table for Fact Book'!$A$3,"State","LA","Type2","Technical")</f>
        <v>455729.5</v>
      </c>
      <c r="AI11" s="199">
        <f>GETPIVOTDATA("Sum of NEW-Tot UG SCH Calc",'Pivot Table for Fact Book'!$A$3,"State","LA","Type2","Technical")</f>
        <v>493950</v>
      </c>
      <c r="AJ11" s="1"/>
    </row>
    <row r="12" spans="1:36">
      <c r="A12" s="175" t="s">
        <v>227</v>
      </c>
      <c r="B12" s="195">
        <f>GETPIVOTDATA("Sum of OLD-Tot UG SCH Calc",'Pivot Table for Fact Book'!$A$3,"State","MD","type",1,"Type2","Four-Year")</f>
        <v>772784</v>
      </c>
      <c r="C12" s="116">
        <f>GETPIVOTDATA("Sum of NEW-Tot UG SCH Calc",'Pivot Table for Fact Book'!$A$3,"State","MD","type",1,"Type2","Four-Year")</f>
        <v>779086.5</v>
      </c>
      <c r="D12" s="195">
        <f>GETPIVOTDATA("Sum of OLD-Tot UG SCH Calc",'Pivot Table for Fact Book'!$A$3,"State","MD","type",2,"Type2","Four-Year")</f>
        <v>256485</v>
      </c>
      <c r="E12" s="116">
        <f>GETPIVOTDATA("Sum of NEW-Tot UG SCH Calc",'Pivot Table for Fact Book'!$A$3,"State","MD","type",2,"Type2","Four-Year")</f>
        <v>252345</v>
      </c>
      <c r="F12" s="195">
        <f>GETPIVOTDATA("Sum of OLD-Tot UG SCH Calc",'Pivot Table for Fact Book'!$A$3,"State","MD","type",3,"Type2","Four-Year")</f>
        <v>604533</v>
      </c>
      <c r="G12" s="116">
        <f>GETPIVOTDATA("Sum of NEW-Tot UG SCH Calc",'Pivot Table for Fact Book'!$A$3,"State","MD","type",3,"Type2","Four-Year")</f>
        <v>639792.5</v>
      </c>
      <c r="H12" s="195">
        <f>GETPIVOTDATA("Sum of OLD-Tot UG SCH Calc",'Pivot Table for Fact Book'!$A$3,"State","MD","type",4,"Type2","Four-Year")</f>
        <v>671630</v>
      </c>
      <c r="I12" s="116">
        <f>GETPIVOTDATA("Sum of NEW-Tot UG SCH Calc",'Pivot Table for Fact Book'!$A$3,"State","MD","type",4,"Type2","Four-Year")</f>
        <v>705081</v>
      </c>
      <c r="J12" s="195">
        <f>GETPIVOTDATA("Sum of OLD-Tot UG SCH Calc",'Pivot Table for Fact Book'!$A$3,"State","MD","type",5,"Type2","Four-Year")</f>
        <v>0</v>
      </c>
      <c r="K12" s="116">
        <f>GETPIVOTDATA("Sum of NEW-Tot UG SCH Calc",'Pivot Table for Fact Book'!$A$3,"State","MD","type",5,"Type2","Four-Year")</f>
        <v>0</v>
      </c>
      <c r="L12" s="195">
        <f>GETPIVOTDATA("Sum of OLD-Tot UG SCH Calc",'Pivot Table for Fact Book'!$A$3,"State","MD","type",6,"Type2","Four-Year")</f>
        <v>60301</v>
      </c>
      <c r="M12" s="116">
        <f>GETPIVOTDATA("Sum of NEW-Tot UG SCH Calc",'Pivot Table for Fact Book'!$A$3,"State","MD","type",6,"Type2","Four-Year")</f>
        <v>61934</v>
      </c>
      <c r="N12" s="195">
        <f>GETPIVOTDATA("Sum of OLD-Tot UG SCH Calc",'Pivot Table for Fact Book'!$A$3,"State","MD","type",15,"Type2","Four-Year")</f>
        <v>361100</v>
      </c>
      <c r="O12" s="116">
        <f>GETPIVOTDATA("Sum of NEW-Tot UG SCH Calc",'Pivot Table for Fact Book'!$A$3,"State","MD","type",15,"Type2","Four-Year")</f>
        <v>351195</v>
      </c>
      <c r="P12" s="196">
        <f>GETPIVOTDATA("Sum of OLD-Tot UG SCH Calc",'Pivot Table for Fact Book'!$A$3,"State","MD","Type2","Four-Year")</f>
        <v>2726833</v>
      </c>
      <c r="Q12" s="196">
        <f>GETPIVOTDATA("Sum of NEW-Tot UG SCH Calc",'Pivot Table for Fact Book'!$A$3,"State","MD","Type2","Four-Year")</f>
        <v>2789434</v>
      </c>
      <c r="R12" s="195">
        <f>GETPIVOTDATA("Sum of OLD-Tot UG SCH Calc",'Pivot Table for Fact Book'!$A$3,"State","MD","type",7,"Type2","Two-Year")</f>
        <v>0</v>
      </c>
      <c r="S12" s="197">
        <f>GETPIVOTDATA("Sum of NEW-Tot UG SCH Calc",'Pivot Table for Fact Book'!$A$3,"State","MD","type",7,"Type2","Two-Year")</f>
        <v>0</v>
      </c>
      <c r="T12" s="197">
        <f>GETPIVOTDATA("Sum of OLD-Tot UG SCH Calc",'Pivot Table for Fact Book'!$A$3,"State","MD","type",8,"Type2","Two-Year")</f>
        <v>1296314</v>
      </c>
      <c r="U12" s="197">
        <f>GETPIVOTDATA("Sum of NEW-Tot UG SCH Calc",'Pivot Table for Fact Book'!$A$3,"State","MD","type",8,"Type2","Two-Year")</f>
        <v>1428000.19</v>
      </c>
      <c r="V12" s="197">
        <f>GETPIVOTDATA("Sum of OLD-Tot UG SCH Calc",'Pivot Table for Fact Book'!$A$3,"State","MD","type",9,"Type2","Two-Year")</f>
        <v>760999</v>
      </c>
      <c r="W12" s="197">
        <f>GETPIVOTDATA("Sum of NEW-Tot UG SCH Calc",'Pivot Table for Fact Book'!$A$3,"State","MD","type",9,"Type2","Two-Year")</f>
        <v>874478</v>
      </c>
      <c r="X12" s="197">
        <f>GETPIVOTDATA("Sum of OLD-Tot UG SCH Calc",'Pivot Table for Fact Book'!$A$3,"State","MD","type",10,"Type2","Two-Year")</f>
        <v>269287.5</v>
      </c>
      <c r="Y12" s="197">
        <f>GETPIVOTDATA("Sum of NEW-Tot UG SCH Calc",'Pivot Table for Fact Book'!$A$3,"State","MD","type",10,"Type2","Two-Year")</f>
        <v>233257</v>
      </c>
      <c r="Z12" s="198">
        <f>GETPIVOTDATA("Sum of OLD-Tot UG SCH Calc",'Pivot Table for Fact Book'!$A$3,"State","MD","Type2","Two-Year")</f>
        <v>2326600.5</v>
      </c>
      <c r="AA12" s="198">
        <f>GETPIVOTDATA("Sum of NEW-Tot UG SCH Calc",'Pivot Table for Fact Book'!$A$3,"State","MD","Type2","Two-Year")</f>
        <v>2535735.19</v>
      </c>
      <c r="AB12" s="195">
        <f>GETPIVOTDATA("Sum of OLD-Tot UG SCH Calc",'Pivot Table for Fact Book'!$A$3,"State","MD","type",12,"Type2","Technical")</f>
        <v>0</v>
      </c>
      <c r="AC12" s="197">
        <f>GETPIVOTDATA("Sum of NEW-Tot UG SCH Calc",'Pivot Table for Fact Book'!$A$3,"State","MD","type",12,"Type2","Technical")</f>
        <v>0</v>
      </c>
      <c r="AD12" s="195">
        <f>GETPIVOTDATA("Sum of OLD-Tot UG SCH Calc",'Pivot Table for Fact Book'!$A$3,"State","MD","type",13,"Type2","Technical")</f>
        <v>0</v>
      </c>
      <c r="AE12" s="197">
        <f>GETPIVOTDATA("Sum of NEW-Tot UG SCH Calc",'Pivot Table for Fact Book'!$A$3,"State","MD","type",13,"Type2","Technical")</f>
        <v>0</v>
      </c>
      <c r="AF12" s="195">
        <f>GETPIVOTDATA("Sum of OLD-Tot UG SCH Calc",'Pivot Table for Fact Book'!$A$3,"State","MD","type",14,"Type2","Technical")</f>
        <v>0</v>
      </c>
      <c r="AG12" s="197">
        <f>GETPIVOTDATA("Sum of NEW-Tot UG SCH Calc",'Pivot Table for Fact Book'!$A$3,"State","MD","type",14,"Type2","Technical")</f>
        <v>0</v>
      </c>
      <c r="AH12" s="737">
        <f>GETPIVOTDATA("Sum of OLD-Tot UG SCH Calc",'Pivot Table for Fact Book'!$A$3,"State","MD","Type2","Technical")</f>
        <v>0</v>
      </c>
      <c r="AI12" s="199">
        <f>GETPIVOTDATA("Sum of NEW-Tot UG SCH Calc",'Pivot Table for Fact Book'!$A$3,"State","MD","Type2","Technical")</f>
        <v>0</v>
      </c>
      <c r="AJ12" s="1"/>
    </row>
    <row r="13" spans="1:36">
      <c r="A13" s="175" t="s">
        <v>204</v>
      </c>
      <c r="B13" s="195">
        <f>GETPIVOTDATA("Sum of OLD-Tot UG SCH Calc",'Pivot Table for Fact Book'!$A$3,"State","MS","type",1,"Type2","Four-Year")</f>
        <v>677543</v>
      </c>
      <c r="C13" s="116">
        <f>GETPIVOTDATA("Sum of NEW-Tot UG SCH Calc",'Pivot Table for Fact Book'!$A$3,"State","MS","type",1,"Type2","Four-Year")</f>
        <v>696195</v>
      </c>
      <c r="D13" s="195">
        <f>GETPIVOTDATA("Sum of OLD-Tot UG SCH Calc",'Pivot Table for Fact Book'!$A$3,"State","MS","type",2,"Type2","Four-Year")</f>
        <v>535013</v>
      </c>
      <c r="E13" s="116">
        <f>GETPIVOTDATA("Sum of NEW-Tot UG SCH Calc",'Pivot Table for Fact Book'!$A$3,"State","MS","type",2,"Type2","Four-Year")</f>
        <v>525101</v>
      </c>
      <c r="F13" s="195">
        <f>GETPIVOTDATA("Sum of OLD-Tot UG SCH Calc",'Pivot Table for Fact Book'!$A$3,"State","MS","type",3,"Type2","Four-Year")</f>
        <v>0</v>
      </c>
      <c r="G13" s="116">
        <f>GETPIVOTDATA("Sum of NEW-Tot UG SCH Calc",'Pivot Table for Fact Book'!$A$3,"State","MS","type",3,"Type2","Four-Year")</f>
        <v>0</v>
      </c>
      <c r="H13" s="195">
        <f>GETPIVOTDATA("Sum of OLD-Tot UG SCH Calc",'Pivot Table for Fact Book'!$A$3,"State","MS","type",4,"Type2","Four-Year")</f>
        <v>169055</v>
      </c>
      <c r="I13" s="116">
        <f>GETPIVOTDATA("Sum of NEW-Tot UG SCH Calc",'Pivot Table for Fact Book'!$A$3,"State","MS","type",4,"Type2","Four-Year")</f>
        <v>159757</v>
      </c>
      <c r="J13" s="195">
        <f>GETPIVOTDATA("Sum of OLD-Tot UG SCH Calc",'Pivot Table for Fact Book'!$A$3,"State","MS","type",5,"Type2","Four-Year")</f>
        <v>133173</v>
      </c>
      <c r="K13" s="116">
        <f>GETPIVOTDATA("Sum of NEW-Tot UG SCH Calc",'Pivot Table for Fact Book'!$A$3,"State","MS","type",5,"Type2","Four-Year")</f>
        <v>125920</v>
      </c>
      <c r="L13" s="195">
        <f>GETPIVOTDATA("Sum of OLD-Tot UG SCH Calc",'Pivot Table for Fact Book'!$A$3,"State","MS","type",6,"Type2","Four-Year")</f>
        <v>0</v>
      </c>
      <c r="M13" s="116">
        <f>GETPIVOTDATA("Sum of NEW-Tot UG SCH Calc",'Pivot Table for Fact Book'!$A$3,"State","MS","type",6,"Type2","Four-Year")</f>
        <v>0</v>
      </c>
      <c r="N13" s="195">
        <f>GETPIVOTDATA("Sum of OLD-Tot UG SCH Calc",'Pivot Table for Fact Book'!$A$3,"State","MS","type",15,"Type2","Four-Year")</f>
        <v>0</v>
      </c>
      <c r="O13" s="116">
        <f>GETPIVOTDATA("Sum of NEW-Tot UG SCH Calc",'Pivot Table for Fact Book'!$A$3,"State","MS","type",15,"Type2","Four-Year")</f>
        <v>0</v>
      </c>
      <c r="P13" s="196">
        <f>GETPIVOTDATA("Sum of OLD-Tot UG SCH Calc",'Pivot Table for Fact Book'!$A$3,"State","MS","Type2","Four-Year")</f>
        <v>1514784</v>
      </c>
      <c r="Q13" s="196">
        <f>GETPIVOTDATA("Sum of NEW-Tot UG SCH Calc",'Pivot Table for Fact Book'!$A$3,"State","MS","Type2","Four-Year")</f>
        <v>1506973</v>
      </c>
      <c r="R13" s="195">
        <f>GETPIVOTDATA("Sum of OLD-Tot UG SCH Calc",'Pivot Table for Fact Book'!$A$3,"State","MS","type",7,"Type2","Two-Year")</f>
        <v>0</v>
      </c>
      <c r="S13" s="197">
        <f>GETPIVOTDATA("Sum of NEW-Tot UG SCH Calc",'Pivot Table for Fact Book'!$A$3,"State","MS","type",7,"Type2","Two-Year")</f>
        <v>0</v>
      </c>
      <c r="T13" s="197">
        <f>GETPIVOTDATA("Sum of OLD-Tot UG SCH Calc",'Pivot Table for Fact Book'!$A$3,"State","MS","type",8,"Type2","Two-Year")</f>
        <v>614983</v>
      </c>
      <c r="U13" s="197">
        <f>GETPIVOTDATA("Sum of NEW-Tot UG SCH Calc",'Pivot Table for Fact Book'!$A$3,"State","MS","type",8,"Type2","Two-Year")</f>
        <v>640284</v>
      </c>
      <c r="V13" s="197">
        <f>GETPIVOTDATA("Sum of OLD-Tot UG SCH Calc",'Pivot Table for Fact Book'!$A$3,"State","MS","type",9,"Type2","Two-Year")</f>
        <v>984397</v>
      </c>
      <c r="W13" s="197">
        <f>GETPIVOTDATA("Sum of NEW-Tot UG SCH Calc",'Pivot Table for Fact Book'!$A$3,"State","MS","type",9,"Type2","Two-Year")</f>
        <v>1024168</v>
      </c>
      <c r="X13" s="197">
        <f>GETPIVOTDATA("Sum of OLD-Tot UG SCH Calc",'Pivot Table for Fact Book'!$A$3,"State","MS","type",10,"Type2","Two-Year")</f>
        <v>98706</v>
      </c>
      <c r="Y13" s="197">
        <f>GETPIVOTDATA("Sum of NEW-Tot UG SCH Calc",'Pivot Table for Fact Book'!$A$3,"State","MS","type",10,"Type2","Two-Year")</f>
        <v>93298</v>
      </c>
      <c r="Z13" s="198">
        <f>GETPIVOTDATA("Sum of OLD-Tot UG SCH Calc",'Pivot Table for Fact Book'!$A$3,"State","MS","Type2","Two-Year")</f>
        <v>1698086</v>
      </c>
      <c r="AA13" s="198">
        <f>GETPIVOTDATA("Sum of NEW-Tot UG SCH Calc",'Pivot Table for Fact Book'!$A$3,"State","MS","Type2","Two-Year")</f>
        <v>1757750</v>
      </c>
      <c r="AB13" s="195">
        <f>GETPIVOTDATA("Sum of OLD-Tot UG SCH Calc",'Pivot Table for Fact Book'!$A$3,"State","MS","type",12,"Type2","Technical")</f>
        <v>0</v>
      </c>
      <c r="AC13" s="197">
        <f>GETPIVOTDATA("Sum of NEW-Tot UG SCH Calc",'Pivot Table for Fact Book'!$A$3,"State","MS","type",12,"Type2","Technical")</f>
        <v>0</v>
      </c>
      <c r="AD13" s="195">
        <f>GETPIVOTDATA("Sum of OLD-Tot UG SCH Calc",'Pivot Table for Fact Book'!$A$3,"State","MS","type",13,"Type2","Technical")</f>
        <v>0</v>
      </c>
      <c r="AE13" s="197">
        <f>GETPIVOTDATA("Sum of NEW-Tot UG SCH Calc",'Pivot Table for Fact Book'!$A$3,"State","MS","type",13,"Type2","Technical")</f>
        <v>0</v>
      </c>
      <c r="AF13" s="195">
        <f>GETPIVOTDATA("Sum of OLD-Tot UG SCH Calc",'Pivot Table for Fact Book'!$A$3,"State","MS","type",14,"Type2","Technical")</f>
        <v>0</v>
      </c>
      <c r="AG13" s="197">
        <f>GETPIVOTDATA("Sum of NEW-Tot UG SCH Calc",'Pivot Table for Fact Book'!$A$3,"State","MS","type",14,"Type2","Technical")</f>
        <v>0</v>
      </c>
      <c r="AH13" s="737">
        <f>GETPIVOTDATA("Sum of OLD-Tot UG SCH Calc",'Pivot Table for Fact Book'!$A$3,"State","MS","Type2","Technical")</f>
        <v>0</v>
      </c>
      <c r="AI13" s="199">
        <f>GETPIVOTDATA("Sum of NEW-Tot UG SCH Calc",'Pivot Table for Fact Book'!$A$3,"State","MS","Type2","Technical")</f>
        <v>0</v>
      </c>
      <c r="AJ13" s="1"/>
    </row>
    <row r="14" spans="1:36">
      <c r="A14" s="175" t="s">
        <v>212</v>
      </c>
      <c r="B14" s="195">
        <f>GETPIVOTDATA("Sum of OLD-Tot UG SCH Calc",'Pivot Table for Fact Book'!$A$3,"State","NC","type",1,"Type2","Four-Year")</f>
        <v>1161988</v>
      </c>
      <c r="C14" s="116">
        <f>GETPIVOTDATA("Sum of NEW-Tot UG SCH Calc",'Pivot Table for Fact Book'!$A$3,"State","NC","type",1,"Type2","Four-Year")</f>
        <v>1191348</v>
      </c>
      <c r="D14" s="195">
        <f>GETPIVOTDATA("Sum of OLD-Tot UG SCH Calc",'Pivot Table for Fact Book'!$A$3,"State","NC","type",2,"Type2","Four-Year")</f>
        <v>843210</v>
      </c>
      <c r="E14" s="116">
        <f>GETPIVOTDATA("Sum of NEW-Tot UG SCH Calc",'Pivot Table for Fact Book'!$A$3,"State","NC","type",2,"Type2","Four-Year")</f>
        <v>891523</v>
      </c>
      <c r="F14" s="195">
        <f>GETPIVOTDATA("Sum of OLD-Tot UG SCH Calc",'Pivot Table for Fact Book'!$A$3,"State","NC","type",3,"Type2","Four-Year")</f>
        <v>1927229</v>
      </c>
      <c r="G14" s="116">
        <f>GETPIVOTDATA("Sum of NEW-Tot UG SCH Calc",'Pivot Table for Fact Book'!$A$3,"State","NC","type",3,"Type2","Four-Year")</f>
        <v>1967477</v>
      </c>
      <c r="H14" s="195">
        <f>GETPIVOTDATA("Sum of OLD-Tot UG SCH Calc",'Pivot Table for Fact Book'!$A$3,"State","NC","type",4,"Type2","Four-Year")</f>
        <v>173557</v>
      </c>
      <c r="I14" s="116">
        <f>GETPIVOTDATA("Sum of NEW-Tot UG SCH Calc",'Pivot Table for Fact Book'!$A$3,"State","NC","type",4,"Type2","Four-Year")</f>
        <v>167410</v>
      </c>
      <c r="J14" s="195">
        <f>GETPIVOTDATA("Sum of OLD-Tot UG SCH Calc",'Pivot Table for Fact Book'!$A$3,"State","NC","type",5,"Type2","Four-Year")</f>
        <v>297654</v>
      </c>
      <c r="K14" s="116">
        <f>GETPIVOTDATA("Sum of NEW-Tot UG SCH Calc",'Pivot Table for Fact Book'!$A$3,"State","NC","type",5,"Type2","Four-Year")</f>
        <v>314725</v>
      </c>
      <c r="L14" s="195">
        <f>GETPIVOTDATA("Sum of OLD-Tot UG SCH Calc",'Pivot Table for Fact Book'!$A$3,"State","NC","type",6,"Type2","Four-Year")</f>
        <v>180378</v>
      </c>
      <c r="M14" s="116">
        <f>GETPIVOTDATA("Sum of NEW-Tot UG SCH Calc",'Pivot Table for Fact Book'!$A$3,"State","NC","type",6,"Type2","Four-Year")</f>
        <v>182142</v>
      </c>
      <c r="N14" s="195">
        <f>GETPIVOTDATA("Sum of OLD-Tot UG SCH Calc",'Pivot Table for Fact Book'!$A$3,"State","NC","type",15,"Type2","Four-Year")</f>
        <v>0</v>
      </c>
      <c r="O14" s="116">
        <f>GETPIVOTDATA("Sum of NEW-Tot UG SCH Calc",'Pivot Table for Fact Book'!$A$3,"State","NC","type",15,"Type2","Four-Year")</f>
        <v>0</v>
      </c>
      <c r="P14" s="196">
        <f>GETPIVOTDATA("Sum of OLD-Tot UG SCH Calc",'Pivot Table for Fact Book'!$A$3,"State","NC","Type2","Four-Year")</f>
        <v>4584016</v>
      </c>
      <c r="Q14" s="196">
        <f>GETPIVOTDATA("Sum of NEW-Tot UG SCH Calc",'Pivot Table for Fact Book'!$A$3,"State","NC","Type2","Four-Year")</f>
        <v>4714625</v>
      </c>
      <c r="R14" s="195">
        <f>GETPIVOTDATA("Sum of OLD-Tot UG SCH Calc",'Pivot Table for Fact Book'!$A$3,"State","NC","type",7,"Type2","Two-Year")</f>
        <v>0</v>
      </c>
      <c r="S14" s="197">
        <f>GETPIVOTDATA("Sum of NEW-Tot UG SCH Calc",'Pivot Table for Fact Book'!$A$3,"State","NC","type",7,"Type2","Two-Year")</f>
        <v>0</v>
      </c>
      <c r="T14" s="197">
        <f>GETPIVOTDATA("Sum of OLD-Tot UG SCH Calc",'Pivot Table for Fact Book'!$A$3,"State","NC","type",8,"Type2","Two-Year")</f>
        <v>2985491.0999999996</v>
      </c>
      <c r="U14" s="197">
        <f>GETPIVOTDATA("Sum of NEW-Tot UG SCH Calc",'Pivot Table for Fact Book'!$A$3,"State","NC","type",8,"Type2","Two-Year")</f>
        <v>3162660</v>
      </c>
      <c r="V14" s="197">
        <f>GETPIVOTDATA("Sum of OLD-Tot UG SCH Calc",'Pivot Table for Fact Book'!$A$3,"State","NC","type",9,"Type2","Two-Year")</f>
        <v>3117357.8999999994</v>
      </c>
      <c r="W14" s="197">
        <f>GETPIVOTDATA("Sum of NEW-Tot UG SCH Calc",'Pivot Table for Fact Book'!$A$3,"State","NC","type",9,"Type2","Two-Year")</f>
        <v>3233940</v>
      </c>
      <c r="X14" s="197">
        <f>GETPIVOTDATA("Sum of OLD-Tot UG SCH Calc",'Pivot Table for Fact Book'!$A$3,"State","NC","type",10,"Type2","Two-Year")</f>
        <v>543287.70000000007</v>
      </c>
      <c r="Y14" s="197">
        <f>GETPIVOTDATA("Sum of NEW-Tot UG SCH Calc",'Pivot Table for Fact Book'!$A$3,"State","NC","type",10,"Type2","Two-Year")</f>
        <v>555510</v>
      </c>
      <c r="Z14" s="198">
        <f>GETPIVOTDATA("Sum of OLD-Tot UG SCH Calc",'Pivot Table for Fact Book'!$A$3,"State","NC","Type2","Two-Year")</f>
        <v>6646136.6999999993</v>
      </c>
      <c r="AA14" s="198">
        <f>GETPIVOTDATA("Sum of NEW-Tot UG SCH Calc",'Pivot Table for Fact Book'!$A$3,"State","NC","Type2","Two-Year")</f>
        <v>6952110</v>
      </c>
      <c r="AB14" s="195">
        <f>GETPIVOTDATA("Sum of OLD-Tot UG SCH Calc",'Pivot Table for Fact Book'!$A$3,"State","NC","type",12,"Type2","Technical")</f>
        <v>0</v>
      </c>
      <c r="AC14" s="197">
        <f>GETPIVOTDATA("Sum of NEW-Tot UG SCH Calc",'Pivot Table for Fact Book'!$A$3,"State","NC","type",12,"Type2","Technical")</f>
        <v>0</v>
      </c>
      <c r="AD14" s="195">
        <f>GETPIVOTDATA("Sum of OLD-Tot UG SCH Calc",'Pivot Table for Fact Book'!$A$3,"State","NC","type",13,"Type2","Technical")</f>
        <v>0</v>
      </c>
      <c r="AE14" s="197">
        <f>GETPIVOTDATA("Sum of NEW-Tot UG SCH Calc",'Pivot Table for Fact Book'!$A$3,"State","NC","type",13,"Type2","Technical")</f>
        <v>0</v>
      </c>
      <c r="AF14" s="195">
        <f>GETPIVOTDATA("Sum of OLD-Tot UG SCH Calc",'Pivot Table for Fact Book'!$A$3,"State","NC","type",14,"Type2","Technical")</f>
        <v>0</v>
      </c>
      <c r="AG14" s="197">
        <f>GETPIVOTDATA("Sum of NEW-Tot UG SCH Calc",'Pivot Table for Fact Book'!$A$3,"State","NC","type",14,"Type2","Technical")</f>
        <v>0</v>
      </c>
      <c r="AH14" s="737">
        <f>GETPIVOTDATA("Sum of OLD-Tot UG SCH Calc",'Pivot Table for Fact Book'!$A$3,"State","NC","Type2","Technical")</f>
        <v>0</v>
      </c>
      <c r="AI14" s="199">
        <f>GETPIVOTDATA("Sum of NEW-Tot UG SCH Calc",'Pivot Table for Fact Book'!$A$3,"State","NC","Type2","Technical")</f>
        <v>0</v>
      </c>
      <c r="AJ14" s="1"/>
    </row>
    <row r="15" spans="1:36">
      <c r="A15" s="175" t="s">
        <v>205</v>
      </c>
      <c r="B15" s="195">
        <f>GETPIVOTDATA("Sum of OLD-Tot UG SCH Calc",'Pivot Table for Fact Book'!$A$3,"State","OK","type",1,"Type2","Four-Year")</f>
        <v>1069859</v>
      </c>
      <c r="C15" s="116">
        <f>GETPIVOTDATA("Sum of NEW-Tot UG SCH Calc",'Pivot Table for Fact Book'!$A$3,"State","OK","type",1,"Type2","Four-Year")</f>
        <v>1034006</v>
      </c>
      <c r="D15" s="195">
        <f>GETPIVOTDATA("Sum of OLD-Tot UG SCH Calc",'Pivot Table for Fact Book'!$A$3,"State","OK","type",2,"Type2","Four-Year")</f>
        <v>0</v>
      </c>
      <c r="E15" s="116">
        <f>GETPIVOTDATA("Sum of NEW-Tot UG SCH Calc",'Pivot Table for Fact Book'!$A$3,"State","OK","type",2,"Type2","Four-Year")</f>
        <v>0</v>
      </c>
      <c r="F15" s="195">
        <f>GETPIVOTDATA("Sum of OLD-Tot UG SCH Calc",'Pivot Table for Fact Book'!$A$3,"State","OK","type",3,"Type2","Four-Year")</f>
        <v>531559</v>
      </c>
      <c r="G15" s="116">
        <f>GETPIVOTDATA("Sum of NEW-Tot UG SCH Calc",'Pivot Table for Fact Book'!$A$3,"State","OK","type",3,"Type2","Four-Year")</f>
        <v>511085</v>
      </c>
      <c r="H15" s="195">
        <f>GETPIVOTDATA("Sum of OLD-Tot UG SCH Calc",'Pivot Table for Fact Book'!$A$3,"State","OK","type",4,"Type2","Four-Year")</f>
        <v>0</v>
      </c>
      <c r="I15" s="116">
        <f>GETPIVOTDATA("Sum of NEW-Tot UG SCH Calc",'Pivot Table for Fact Book'!$A$3,"State","OK","type",4,"Type2","Four-Year")</f>
        <v>0</v>
      </c>
      <c r="J15" s="195">
        <f>GETPIVOTDATA("Sum of OLD-Tot UG SCH Calc",'Pivot Table for Fact Book'!$A$3,"State","OK","type",5,"Type2","Four-Year")</f>
        <v>540932</v>
      </c>
      <c r="K15" s="116">
        <f>GETPIVOTDATA("Sum of NEW-Tot UG SCH Calc",'Pivot Table for Fact Book'!$A$3,"State","OK","type",5,"Type2","Four-Year")</f>
        <v>528724</v>
      </c>
      <c r="L15" s="195">
        <f>GETPIVOTDATA("Sum of OLD-Tot UG SCH Calc",'Pivot Table for Fact Book'!$A$3,"State","OK","type",6,"Type2","Four-Year")</f>
        <v>148934</v>
      </c>
      <c r="M15" s="116">
        <f>GETPIVOTDATA("Sum of NEW-Tot UG SCH Calc",'Pivot Table for Fact Book'!$A$3,"State","OK","type",6,"Type2","Four-Year")</f>
        <v>149161</v>
      </c>
      <c r="N15" s="195">
        <f>GETPIVOTDATA("Sum of OLD-Tot UG SCH Calc",'Pivot Table for Fact Book'!$A$3,"State","OK","type",15,"Type2","Four-Year")</f>
        <v>0</v>
      </c>
      <c r="O15" s="116">
        <f>GETPIVOTDATA("Sum of NEW-Tot UG SCH Calc",'Pivot Table for Fact Book'!$A$3,"State","OK","type",15,"Type2","Four-Year")</f>
        <v>0</v>
      </c>
      <c r="P15" s="196">
        <f>GETPIVOTDATA("Sum of OLD-Tot UG SCH Calc",'Pivot Table for Fact Book'!$A$3,"State","OK","Type2","Four-Year")</f>
        <v>2291284</v>
      </c>
      <c r="Q15" s="196">
        <f>GETPIVOTDATA("Sum of NEW-Tot UG SCH Calc",'Pivot Table for Fact Book'!$A$3,"State","OK","Type2","Four-Year")</f>
        <v>2222976</v>
      </c>
      <c r="R15" s="195">
        <f>GETPIVOTDATA("Sum of OLD-Tot UG SCH Calc",'Pivot Table for Fact Book'!$A$3,"State","OK","type",7,"Type2","Two-Year")</f>
        <v>80089</v>
      </c>
      <c r="S15" s="197">
        <f>GETPIVOTDATA("Sum of NEW-Tot UG SCH Calc",'Pivot Table for Fact Book'!$A$3,"State","OK","type",7,"Type2","Two-Year")</f>
        <v>88090</v>
      </c>
      <c r="T15" s="197">
        <f>GETPIVOTDATA("Sum of OLD-Tot UG SCH Calc",'Pivot Table for Fact Book'!$A$3,"State","OK","type",8,"Type2","Two-Year")</f>
        <v>559636</v>
      </c>
      <c r="U15" s="197">
        <f>GETPIVOTDATA("Sum of NEW-Tot UG SCH Calc",'Pivot Table for Fact Book'!$A$3,"State","OK","type",8,"Type2","Two-Year")</f>
        <v>579239</v>
      </c>
      <c r="V15" s="197">
        <f>GETPIVOTDATA("Sum of OLD-Tot UG SCH Calc",'Pivot Table for Fact Book'!$A$3,"State","OK","type",9,"Type2","Two-Year")</f>
        <v>361939</v>
      </c>
      <c r="W15" s="197">
        <f>GETPIVOTDATA("Sum of NEW-Tot UG SCH Calc",'Pivot Table for Fact Book'!$A$3,"State","OK","type",9,"Type2","Two-Year")</f>
        <v>357987</v>
      </c>
      <c r="X15" s="197">
        <f>GETPIVOTDATA("Sum of OLD-Tot UG SCH Calc",'Pivot Table for Fact Book'!$A$3,"State","OK","type",10,"Type2","Two-Year")</f>
        <v>357703</v>
      </c>
      <c r="Y15" s="197">
        <f>GETPIVOTDATA("Sum of NEW-Tot UG SCH Calc",'Pivot Table for Fact Book'!$A$3,"State","OK","type",10,"Type2","Two-Year")</f>
        <v>364550</v>
      </c>
      <c r="Z15" s="198">
        <f>GETPIVOTDATA("Sum of OLD-Tot UG SCH Calc",'Pivot Table for Fact Book'!$A$3,"State","OK","Type2","Two-Year")</f>
        <v>1359367</v>
      </c>
      <c r="AA15" s="198">
        <f>GETPIVOTDATA("Sum of NEW-Tot UG SCH Calc",'Pivot Table for Fact Book'!$A$3,"State","OK","Type2","Two-Year")</f>
        <v>1389866</v>
      </c>
      <c r="AB15" s="195">
        <f>GETPIVOTDATA("Sum of OLD-Tot UG SCH Calc",'Pivot Table for Fact Book'!$A$3,"State","OK","type",12,"Type2","Technical")</f>
        <v>0</v>
      </c>
      <c r="AC15" s="197">
        <f>GETPIVOTDATA("Sum of NEW-Tot UG SCH Calc",'Pivot Table for Fact Book'!$A$3,"State","OK","type",12,"Type2","Technical")</f>
        <v>0</v>
      </c>
      <c r="AD15" s="195">
        <f>GETPIVOTDATA("Sum of OLD-Tot UG SCH Calc",'Pivot Table for Fact Book'!$A$3,"State","OK","type",13,"Type2","Technical")</f>
        <v>0</v>
      </c>
      <c r="AE15" s="197">
        <f>GETPIVOTDATA("Sum of NEW-Tot UG SCH Calc",'Pivot Table for Fact Book'!$A$3,"State","OK","type",13,"Type2","Technical")</f>
        <v>0</v>
      </c>
      <c r="AF15" s="195">
        <f>GETPIVOTDATA("Sum of OLD-Tot UG SCH Calc",'Pivot Table for Fact Book'!$A$3,"State","OK","type",14,"Type2","Technical")</f>
        <v>0</v>
      </c>
      <c r="AG15" s="197">
        <f>GETPIVOTDATA("Sum of NEW-Tot UG SCH Calc",'Pivot Table for Fact Book'!$A$3,"State","OK","type",14,"Type2","Technical")</f>
        <v>0</v>
      </c>
      <c r="AH15" s="737">
        <f>GETPIVOTDATA("Sum of OLD-Tot UG SCH Calc",'Pivot Table for Fact Book'!$A$3,"State","OK","Type2","Technical")</f>
        <v>0</v>
      </c>
      <c r="AI15" s="199">
        <f>GETPIVOTDATA("Sum of NEW-Tot UG SCH Calc",'Pivot Table for Fact Book'!$A$3,"State","OK","Type2","Technical")</f>
        <v>0</v>
      </c>
      <c r="AJ15" s="1"/>
    </row>
    <row r="16" spans="1:36">
      <c r="A16" s="175" t="s">
        <v>228</v>
      </c>
      <c r="B16" s="195">
        <f>GETPIVOTDATA("Sum of OLD-Tot UG SCH Calc",'Pivot Table for Fact Book'!$A$3,"State","SC","type",1,"Type2","Four-Year")</f>
        <v>980546</v>
      </c>
      <c r="C16" s="116">
        <f>GETPIVOTDATA("Sum of NEW-Tot UG SCH Calc",'Pivot Table for Fact Book'!$A$3,"State","SC","type",1,"Type2","Four-Year")</f>
        <v>1018939</v>
      </c>
      <c r="D16" s="195">
        <f>GETPIVOTDATA("Sum of OLD-Tot UG SCH Calc",'Pivot Table for Fact Book'!$A$3,"State","SC","type",2,"Type2","Four-Year")</f>
        <v>0</v>
      </c>
      <c r="E16" s="116">
        <f>GETPIVOTDATA("Sum of NEW-Tot UG SCH Calc",'Pivot Table for Fact Book'!$A$3,"State","SC","type",2,"Type2","Four-Year")</f>
        <v>0</v>
      </c>
      <c r="F16" s="195">
        <f>GETPIVOTDATA("Sum of OLD-Tot UG SCH Calc",'Pivot Table for Fact Book'!$A$3,"State","SC","type",3,"Type2","Four-Year")</f>
        <v>430131</v>
      </c>
      <c r="G16" s="116">
        <f>GETPIVOTDATA("Sum of NEW-Tot UG SCH Calc",'Pivot Table for Fact Book'!$A$3,"State","SC","type",3,"Type2","Four-Year")</f>
        <v>428374.5</v>
      </c>
      <c r="H16" s="195">
        <f>GETPIVOTDATA("Sum of OLD-Tot UG SCH Calc",'Pivot Table for Fact Book'!$A$3,"State","SC","type",4,"Type2","Four-Year")</f>
        <v>80748</v>
      </c>
      <c r="I16" s="116">
        <f>GETPIVOTDATA("Sum of NEW-Tot UG SCH Calc",'Pivot Table for Fact Book'!$A$3,"State","SC","type",4,"Type2","Four-Year")</f>
        <v>81587</v>
      </c>
      <c r="J16" s="195">
        <f>GETPIVOTDATA("Sum of OLD-Tot UG SCH Calc",'Pivot Table for Fact Book'!$A$3,"State","SC","type",5,"Type2","Four-Year")</f>
        <v>488393</v>
      </c>
      <c r="K16" s="116">
        <f>GETPIVOTDATA("Sum of NEW-Tot UG SCH Calc",'Pivot Table for Fact Book'!$A$3,"State","SC","type",5,"Type2","Four-Year")</f>
        <v>502839.5</v>
      </c>
      <c r="L16" s="195">
        <f>GETPIVOTDATA("Sum of OLD-Tot UG SCH Calc",'Pivot Table for Fact Book'!$A$3,"State","SC","type",6,"Type2","Four-Year")</f>
        <v>214644</v>
      </c>
      <c r="M16" s="116">
        <f>GETPIVOTDATA("Sum of NEW-Tot UG SCH Calc",'Pivot Table for Fact Book'!$A$3,"State","SC","type",6,"Type2","Four-Year")</f>
        <v>218560</v>
      </c>
      <c r="N16" s="195">
        <f>GETPIVOTDATA("Sum of OLD-Tot UG SCH Calc",'Pivot Table for Fact Book'!$A$3,"State","SC","type",15,"Type2","Four-Year")</f>
        <v>0</v>
      </c>
      <c r="O16" s="116">
        <f>GETPIVOTDATA("Sum of NEW-Tot UG SCH Calc",'Pivot Table for Fact Book'!$A$3,"State","SC","type",15,"Type2","Four-Year")</f>
        <v>0</v>
      </c>
      <c r="P16" s="196">
        <f>GETPIVOTDATA("Sum of OLD-Tot UG SCH Calc",'Pivot Table for Fact Book'!$A$3,"State","SC","Type2","Four-Year")</f>
        <v>2194462</v>
      </c>
      <c r="Q16" s="196">
        <f>GETPIVOTDATA("Sum of NEW-Tot UG SCH Calc",'Pivot Table for Fact Book'!$A$3,"State","SC","Type2","Four-Year")</f>
        <v>2250300</v>
      </c>
      <c r="R16" s="195">
        <f>GETPIVOTDATA("Sum of OLD-Tot UG SCH Calc",'Pivot Table for Fact Book'!$A$3,"State","SC","type",7,"Type2","Two-Year")</f>
        <v>32840</v>
      </c>
      <c r="S16" s="197">
        <f>GETPIVOTDATA("Sum of NEW-Tot UG SCH Calc",'Pivot Table for Fact Book'!$A$3,"State","SC","type",7,"Type2","Two-Year")</f>
        <v>35651</v>
      </c>
      <c r="T16" s="197">
        <f>GETPIVOTDATA("Sum of OLD-Tot UG SCH Calc",'Pivot Table for Fact Book'!$A$3,"State","SC","type",8,"Type2","Two-Year")</f>
        <v>838519</v>
      </c>
      <c r="U16" s="197">
        <f>GETPIVOTDATA("Sum of NEW-Tot UG SCH Calc",'Pivot Table for Fact Book'!$A$3,"State","SC","type",8,"Type2","Two-Year")</f>
        <v>877880.48</v>
      </c>
      <c r="V16" s="197">
        <f>GETPIVOTDATA("Sum of OLD-Tot UG SCH Calc",'Pivot Table for Fact Book'!$A$3,"State","SC","type",9,"Type2","Two-Year")</f>
        <v>889489</v>
      </c>
      <c r="W16" s="197">
        <f>GETPIVOTDATA("Sum of NEW-Tot UG SCH Calc",'Pivot Table for Fact Book'!$A$3,"State","SC","type",9,"Type2","Two-Year")</f>
        <v>941941.85</v>
      </c>
      <c r="X16" s="197">
        <f>GETPIVOTDATA("Sum of OLD-Tot UG SCH Calc",'Pivot Table for Fact Book'!$A$3,"State","SC","type",10,"Type2","Two-Year")</f>
        <v>199306</v>
      </c>
      <c r="Y16" s="197">
        <f>GETPIVOTDATA("Sum of NEW-Tot UG SCH Calc",'Pivot Table for Fact Book'!$A$3,"State","SC","type",10,"Type2","Two-Year")</f>
        <v>207221.99</v>
      </c>
      <c r="Z16" s="198">
        <f>GETPIVOTDATA("Sum of OLD-Tot UG SCH Calc",'Pivot Table for Fact Book'!$A$3,"State","SC","Type2","Two-Year")</f>
        <v>1960154</v>
      </c>
      <c r="AA16" s="198">
        <f>GETPIVOTDATA("Sum of NEW-Tot UG SCH Calc",'Pivot Table for Fact Book'!$A$3,"State","SC","Type2","Two-Year")</f>
        <v>2062695.32</v>
      </c>
      <c r="AB16" s="195">
        <f>GETPIVOTDATA("Sum of OLD-Tot UG SCH Calc",'Pivot Table for Fact Book'!$A$3,"State","SC","type",12,"Type2","Technical")</f>
        <v>0</v>
      </c>
      <c r="AC16" s="197">
        <f>GETPIVOTDATA("Sum of NEW-Tot UG SCH Calc",'Pivot Table for Fact Book'!$A$3,"State","SC","type",12,"Type2","Technical")</f>
        <v>0</v>
      </c>
      <c r="AD16" s="195">
        <f>GETPIVOTDATA("Sum of OLD-Tot UG SCH Calc",'Pivot Table for Fact Book'!$A$3,"State","SC","type",13,"Type2","Technical")</f>
        <v>0</v>
      </c>
      <c r="AE16" s="197">
        <f>GETPIVOTDATA("Sum of NEW-Tot UG SCH Calc",'Pivot Table for Fact Book'!$A$3,"State","SC","type",13,"Type2","Technical")</f>
        <v>0</v>
      </c>
      <c r="AF16" s="195">
        <f>GETPIVOTDATA("Sum of OLD-Tot UG SCH Calc",'Pivot Table for Fact Book'!$A$3,"State","SC","type",14,"Type2","Technical")</f>
        <v>0</v>
      </c>
      <c r="AG16" s="197">
        <f>GETPIVOTDATA("Sum of NEW-Tot UG SCH Calc",'Pivot Table for Fact Book'!$A$3,"State","SC","type",14,"Type2","Technical")</f>
        <v>0</v>
      </c>
      <c r="AH16" s="737">
        <f>GETPIVOTDATA("Sum of OLD-Tot UG SCH Calc",'Pivot Table for Fact Book'!$A$3,"State","SC","Type2","Technical")</f>
        <v>0</v>
      </c>
      <c r="AI16" s="199">
        <f>GETPIVOTDATA("Sum of NEW-Tot UG SCH Calc",'Pivot Table for Fact Book'!$A$3,"State","SC","Type2","Technical")</f>
        <v>0</v>
      </c>
      <c r="AJ16" s="1"/>
    </row>
    <row r="17" spans="1:36">
      <c r="A17" s="175" t="s">
        <v>229</v>
      </c>
      <c r="B17" s="195">
        <f>GETPIVOTDATA("Sum of OLD-Tot UG SCH Calc",'Pivot Table for Fact Book'!$A$3,"State","TN","type",1,"Type2","Four-Year")</f>
        <v>0</v>
      </c>
      <c r="C17" s="116">
        <f>GETPIVOTDATA("Sum of NEW-Tot UG SCH Calc",'Pivot Table for Fact Book'!$A$3,"State","TN","type",1,"Type2","Four-Year")</f>
        <v>621070</v>
      </c>
      <c r="D17" s="195">
        <f>GETPIVOTDATA("Sum of OLD-Tot UG SCH Calc",'Pivot Table for Fact Book'!$A$3,"State","TN","type",2,"Type2","Four-Year")</f>
        <v>0</v>
      </c>
      <c r="E17" s="116">
        <f>GETPIVOTDATA("Sum of NEW-Tot UG SCH Calc",'Pivot Table for Fact Book'!$A$3,"State","TN","type",2,"Type2","Four-Year")</f>
        <v>400979</v>
      </c>
      <c r="F17" s="195">
        <f>GETPIVOTDATA("Sum of OLD-Tot UG SCH Calc",'Pivot Table for Fact Book'!$A$3,"State","TN","type",3,"Type2","Four-Year")</f>
        <v>0</v>
      </c>
      <c r="G17" s="116">
        <f>GETPIVOTDATA("Sum of NEW-Tot UG SCH Calc",'Pivot Table for Fact Book'!$A$3,"State","TN","type",3,"Type2","Four-Year")</f>
        <v>1276288</v>
      </c>
      <c r="H17" s="195">
        <f>GETPIVOTDATA("Sum of OLD-Tot UG SCH Calc",'Pivot Table for Fact Book'!$A$3,"State","TN","type",4,"Type2","Four-Year")</f>
        <v>0</v>
      </c>
      <c r="I17" s="116">
        <f>GETPIVOTDATA("Sum of NEW-Tot UG SCH Calc",'Pivot Table for Fact Book'!$A$3,"State","TN","type",4,"Type2","Four-Year")</f>
        <v>441106</v>
      </c>
      <c r="J17" s="195">
        <f>GETPIVOTDATA("Sum of OLD-Tot UG SCH Calc",'Pivot Table for Fact Book'!$A$3,"State","TN","type",5,"Type2","Four-Year")</f>
        <v>0</v>
      </c>
      <c r="K17" s="116">
        <f>GETPIVOTDATA("Sum of NEW-Tot UG SCH Calc",'Pivot Table for Fact Book'!$A$3,"State","TN","type",5,"Type2","Four-Year")</f>
        <v>184664</v>
      </c>
      <c r="L17" s="195">
        <f>GETPIVOTDATA("Sum of OLD-Tot UG SCH Calc",'Pivot Table for Fact Book'!$A$3,"State","TN","type",6,"Type2","Four-Year")</f>
        <v>0</v>
      </c>
      <c r="M17" s="116">
        <f>GETPIVOTDATA("Sum of NEW-Tot UG SCH Calc",'Pivot Table for Fact Book'!$A$3,"State","TN","type",6,"Type2","Four-Year")</f>
        <v>0</v>
      </c>
      <c r="N17" s="195">
        <f>GETPIVOTDATA("Sum of OLD-Tot UG SCH Calc",'Pivot Table for Fact Book'!$A$3,"State","TN","type",15,"Type2","Four-Year")</f>
        <v>0</v>
      </c>
      <c r="O17" s="116">
        <f>GETPIVOTDATA("Sum of NEW-Tot UG SCH Calc",'Pivot Table for Fact Book'!$A$3,"State","TN","type",15,"Type2","Four-Year")</f>
        <v>0</v>
      </c>
      <c r="P17" s="196">
        <f>GETPIVOTDATA("Sum of OLD-Tot UG SCH Calc",'Pivot Table for Fact Book'!$A$3,"State","TN","Type2","Four-Year")</f>
        <v>0</v>
      </c>
      <c r="Q17" s="196">
        <f>GETPIVOTDATA("Sum of NEW-Tot UG SCH Calc",'Pivot Table for Fact Book'!$A$3,"State","TN","Type2","Four-Year")</f>
        <v>2924107</v>
      </c>
      <c r="R17" s="195">
        <f>GETPIVOTDATA("Sum of OLD-Tot UG SCH Calc",'Pivot Table for Fact Book'!$A$3,"State","TN","type",7,"Type2","Two-Year")</f>
        <v>0</v>
      </c>
      <c r="S17" s="197">
        <f>GETPIVOTDATA("Sum of NEW-Tot UG SCH Calc",'Pivot Table for Fact Book'!$A$3,"State","TN","type",7,"Type2","Two-Year")</f>
        <v>0</v>
      </c>
      <c r="T17" s="197">
        <f>GETPIVOTDATA("Sum of OLD-Tot UG SCH Calc",'Pivot Table for Fact Book'!$A$3,"State","TN","type",8,"Type2","Two-Year")</f>
        <v>0</v>
      </c>
      <c r="U17" s="197">
        <f>GETPIVOTDATA("Sum of NEW-Tot UG SCH Calc",'Pivot Table for Fact Book'!$A$3,"State","TN","type",8,"Type2","Two-Year")</f>
        <v>577619</v>
      </c>
      <c r="V17" s="197">
        <f>GETPIVOTDATA("Sum of OLD-Tot UG SCH Calc",'Pivot Table for Fact Book'!$A$3,"State","TN","type",9,"Type2","Two-Year")</f>
        <v>0</v>
      </c>
      <c r="W17" s="197">
        <f>GETPIVOTDATA("Sum of NEW-Tot UG SCH Calc",'Pivot Table for Fact Book'!$A$3,"State","TN","type",9,"Type2","Two-Year")</f>
        <v>976795</v>
      </c>
      <c r="X17" s="197">
        <f>GETPIVOTDATA("Sum of OLD-Tot UG SCH Calc",'Pivot Table for Fact Book'!$A$3,"State","TN","type",10,"Type2","Two-Year")</f>
        <v>0</v>
      </c>
      <c r="Y17" s="197">
        <f>GETPIVOTDATA("Sum of NEW-Tot UG SCH Calc",'Pivot Table for Fact Book'!$A$3,"State","TN","type",10,"Type2","Two-Year")</f>
        <v>51542</v>
      </c>
      <c r="Z17" s="198">
        <f>GETPIVOTDATA("Sum of OLD-Tot UG SCH Calc",'Pivot Table for Fact Book'!$A$3,"State","TN","Type2","Two-Year")</f>
        <v>0</v>
      </c>
      <c r="AA17" s="198">
        <f>GETPIVOTDATA("Sum of NEW-Tot UG SCH Calc",'Pivot Table for Fact Book'!$A$3,"State","TN","Type2","Two-Year")</f>
        <v>1605956</v>
      </c>
      <c r="AB17" s="195">
        <f>GETPIVOTDATA("Sum of OLD-Tot UG SCH Calc",'Pivot Table for Fact Book'!$A$3,"State","TN","type",12,"Type2","Technical")</f>
        <v>0</v>
      </c>
      <c r="AC17" s="197">
        <f>GETPIVOTDATA("Sum of NEW-Tot UG SCH Calc",'Pivot Table for Fact Book'!$A$3,"State","TN","type",12,"Type2","Technical")</f>
        <v>0</v>
      </c>
      <c r="AD17" s="195">
        <f>GETPIVOTDATA("Sum of OLD-Tot UG SCH Calc",'Pivot Table for Fact Book'!$A$3,"State","TN","type",13,"Type2","Technical")</f>
        <v>9254787</v>
      </c>
      <c r="AE17" s="197">
        <f>GETPIVOTDATA("Sum of NEW-Tot UG SCH Calc",'Pivot Table for Fact Book'!$A$3,"State","TN","type",13,"Type2","Technical")</f>
        <v>9933530</v>
      </c>
      <c r="AF17" s="195">
        <f>GETPIVOTDATA("Sum of OLD-Tot UG SCH Calc",'Pivot Table for Fact Book'!$A$3,"State","TN","type",14,"Type2","Technical")</f>
        <v>0</v>
      </c>
      <c r="AG17" s="197">
        <f>GETPIVOTDATA("Sum of NEW-Tot UG SCH Calc",'Pivot Table for Fact Book'!$A$3,"State","TN","type",14,"Type2","Technical")</f>
        <v>0</v>
      </c>
      <c r="AH17" s="737">
        <f>GETPIVOTDATA("Sum of OLD-Tot UG SCH Calc",'Pivot Table for Fact Book'!$A$3,"State","TN","Type2","Technical")</f>
        <v>9254787</v>
      </c>
      <c r="AI17" s="199">
        <f>GETPIVOTDATA("Sum of NEW-Tot UG SCH Calc",'Pivot Table for Fact Book'!$A$3,"State","TN","Type2","Technical")</f>
        <v>9933530</v>
      </c>
      <c r="AJ17" s="1"/>
    </row>
    <row r="18" spans="1:36">
      <c r="A18" s="175" t="s">
        <v>213</v>
      </c>
      <c r="B18" s="195">
        <f>GETPIVOTDATA("Sum of OLD-Tot UG SCH Calc",'Pivot Table for Fact Book'!$A$3,"State","TX","type",1,"Type2","Four-Year")</f>
        <v>4793401</v>
      </c>
      <c r="C18" s="116">
        <f>GETPIVOTDATA("Sum of NEW-Tot UG SCH Calc",'Pivot Table for Fact Book'!$A$3,"State","TX","type",1,"Type2","Four-Year")</f>
        <v>4866655</v>
      </c>
      <c r="D18" s="195">
        <f>GETPIVOTDATA("Sum of OLD-Tot UG SCH Calc",'Pivot Table for Fact Book'!$A$3,"State","TX","type",2,"Type2","Four-Year")</f>
        <v>581870</v>
      </c>
      <c r="E18" s="116">
        <f>GETPIVOTDATA("Sum of NEW-Tot UG SCH Calc",'Pivot Table for Fact Book'!$A$3,"State","TX","type",2,"Type2","Four-Year")</f>
        <v>596268</v>
      </c>
      <c r="F18" s="195">
        <f>GETPIVOTDATA("Sum of OLD-Tot UG SCH Calc",'Pivot Table for Fact Book'!$A$3,"State","TX","type",3,"Type2","Four-Year")</f>
        <v>4281447</v>
      </c>
      <c r="G18" s="116">
        <f>GETPIVOTDATA("Sum of NEW-Tot UG SCH Calc",'Pivot Table for Fact Book'!$A$3,"State","TX","type",3,"Type2","Four-Year")</f>
        <v>4274961</v>
      </c>
      <c r="H18" s="195">
        <f>GETPIVOTDATA("Sum of OLD-Tot UG SCH Calc",'Pivot Table for Fact Book'!$A$3,"State","TX","type",4,"Type2","Four-Year")</f>
        <v>267443</v>
      </c>
      <c r="I18" s="116">
        <f>GETPIVOTDATA("Sum of NEW-Tot UG SCH Calc",'Pivot Table for Fact Book'!$A$3,"State","TX","type",4,"Type2","Four-Year")</f>
        <v>287978</v>
      </c>
      <c r="J18" s="195">
        <f>GETPIVOTDATA("Sum of OLD-Tot UG SCH Calc",'Pivot Table for Fact Book'!$A$3,"State","TX","type",5,"Type2","Four-Year")</f>
        <v>294066</v>
      </c>
      <c r="K18" s="116">
        <f>GETPIVOTDATA("Sum of NEW-Tot UG SCH Calc",'Pivot Table for Fact Book'!$A$3,"State","TX","type",5,"Type2","Four-Year")</f>
        <v>305807</v>
      </c>
      <c r="L18" s="195">
        <f>GETPIVOTDATA("Sum of OLD-Tot UG SCH Calc",'Pivot Table for Fact Book'!$A$3,"State","TX","type",6,"Type2","Four-Year")</f>
        <v>44832</v>
      </c>
      <c r="M18" s="116">
        <f>GETPIVOTDATA("Sum of NEW-Tot UG SCH Calc",'Pivot Table for Fact Book'!$A$3,"State","TX","type",6,"Type2","Four-Year")</f>
        <v>44481</v>
      </c>
      <c r="N18" s="195">
        <f>GETPIVOTDATA("Sum of OLD-Tot UG SCH Calc",'Pivot Table for Fact Book'!$A$3,"State","TX","type",15,"Type2","Four-Year")</f>
        <v>0</v>
      </c>
      <c r="O18" s="116">
        <f>GETPIVOTDATA("Sum of NEW-Tot UG SCH Calc",'Pivot Table for Fact Book'!$A$3,"State","TX","type",15,"Type2","Four-Year")</f>
        <v>0</v>
      </c>
      <c r="P18" s="196">
        <f>GETPIVOTDATA("Sum of OLD-Tot UG SCH Calc",'Pivot Table for Fact Book'!$A$3,"State","TX","Type2","Four-Year")</f>
        <v>10263059</v>
      </c>
      <c r="Q18" s="196">
        <f>GETPIVOTDATA("Sum of NEW-Tot UG SCH Calc",'Pivot Table for Fact Book'!$A$3,"State","TX","Type2","Four-Year")</f>
        <v>10376150</v>
      </c>
      <c r="R18" s="195">
        <f>GETPIVOTDATA("Sum of OLD-Tot UG SCH Calc",'Pivot Table for Fact Book'!$A$3,"State","TX","type",7,"Type2","Two-Year")</f>
        <v>0</v>
      </c>
      <c r="S18" s="197">
        <f>GETPIVOTDATA("Sum of NEW-Tot UG SCH Calc",'Pivot Table for Fact Book'!$A$3,"State","TX","type",7,"Type2","Two-Year")</f>
        <v>0</v>
      </c>
      <c r="T18" s="197">
        <f>GETPIVOTDATA("Sum of OLD-Tot UG SCH Calc",'Pivot Table for Fact Book'!$A$3,"State","TX","type",8,"Type2","Two-Year")</f>
        <v>8275648</v>
      </c>
      <c r="U18" s="197">
        <f>GETPIVOTDATA("Sum of NEW-Tot UG SCH Calc",'Pivot Table for Fact Book'!$A$3,"State","TX","type",8,"Type2","Two-Year")</f>
        <v>8616345</v>
      </c>
      <c r="V18" s="197">
        <f>GETPIVOTDATA("Sum of OLD-Tot UG SCH Calc",'Pivot Table for Fact Book'!$A$3,"State","TX","type",9,"Type2","Two-Year")</f>
        <v>2700688</v>
      </c>
      <c r="W18" s="197">
        <f>GETPIVOTDATA("Sum of NEW-Tot UG SCH Calc",'Pivot Table for Fact Book'!$A$3,"State","TX","type",9,"Type2","Two-Year")</f>
        <v>2795185</v>
      </c>
      <c r="X18" s="197">
        <f>GETPIVOTDATA("Sum of OLD-Tot UG SCH Calc",'Pivot Table for Fact Book'!$A$3,"State","TX","type",10,"Type2","Two-Year")</f>
        <v>530901</v>
      </c>
      <c r="Y18" s="197">
        <f>GETPIVOTDATA("Sum of NEW-Tot UG SCH Calc",'Pivot Table for Fact Book'!$A$3,"State","TX","type",10,"Type2","Two-Year")</f>
        <v>553231</v>
      </c>
      <c r="Z18" s="198">
        <f>GETPIVOTDATA("Sum of OLD-Tot UG SCH Calc",'Pivot Table for Fact Book'!$A$3,"State","TX","Type2","Two-Year")</f>
        <v>11507237</v>
      </c>
      <c r="AA18" s="198">
        <f>GETPIVOTDATA("Sum of NEW-Tot UG SCH Calc",'Pivot Table for Fact Book'!$A$3,"State","TX","Type2","Two-Year")</f>
        <v>11964761</v>
      </c>
      <c r="AB18" s="195">
        <f>GETPIVOTDATA("Sum of OLD-Tot UG SCH Calc",'Pivot Table for Fact Book'!$A$3,"State","TX","type",12,"Type2","Technical")</f>
        <v>0</v>
      </c>
      <c r="AC18" s="197">
        <f>GETPIVOTDATA("Sum of NEW-Tot UG SCH Calc",'Pivot Table for Fact Book'!$A$3,"State","TX","type",12,"Type2","Technical")</f>
        <v>0</v>
      </c>
      <c r="AD18" s="195">
        <f>GETPIVOTDATA("Sum of OLD-Tot UG SCH Calc",'Pivot Table for Fact Book'!$A$3,"State","TX","type",13,"Type2","Technical")</f>
        <v>0</v>
      </c>
      <c r="AE18" s="197">
        <f>GETPIVOTDATA("Sum of NEW-Tot UG SCH Calc",'Pivot Table for Fact Book'!$A$3,"State","TX","type",13,"Type2","Technical")</f>
        <v>0</v>
      </c>
      <c r="AF18" s="195">
        <f>GETPIVOTDATA("Sum of OLD-Tot UG SCH Calc",'Pivot Table for Fact Book'!$A$3,"State","TX","type",14,"Type2","Technical")</f>
        <v>0</v>
      </c>
      <c r="AG18" s="197">
        <f>GETPIVOTDATA("Sum of NEW-Tot UG SCH Calc",'Pivot Table for Fact Book'!$A$3,"State","TX","type",14,"Type2","Technical")</f>
        <v>0</v>
      </c>
      <c r="AH18" s="737">
        <f>GETPIVOTDATA("Sum of OLD-Tot UG SCH Calc",'Pivot Table for Fact Book'!$A$3,"State","TX","Type2","Technical")</f>
        <v>0</v>
      </c>
      <c r="AI18" s="199">
        <f>GETPIVOTDATA("Sum of NEW-Tot UG SCH Calc",'Pivot Table for Fact Book'!$A$3,"State","TX","Type2","Technical")</f>
        <v>0</v>
      </c>
      <c r="AJ18" s="1"/>
    </row>
    <row r="19" spans="1:36">
      <c r="A19" s="175" t="s">
        <v>230</v>
      </c>
      <c r="B19" s="195">
        <f>GETPIVOTDATA("Sum of OLD-Tot UG SCH Calc",'Pivot Table for Fact Book'!$A$3,"State","VA","type",1,"Type2","Four-Year")</f>
        <v>0</v>
      </c>
      <c r="C19" s="116">
        <f>GETPIVOTDATA("Sum of NEW-Tot UG SCH Calc",'Pivot Table for Fact Book'!$A$3,"State","VA","type",1,"Type2","Four-Year")</f>
        <v>0</v>
      </c>
      <c r="D19" s="195">
        <f>GETPIVOTDATA("Sum of OLD-Tot UG SCH Calc",'Pivot Table for Fact Book'!$A$3,"State","VA","type",2,"Type2","Four-Year")</f>
        <v>0</v>
      </c>
      <c r="E19" s="116">
        <f>GETPIVOTDATA("Sum of NEW-Tot UG SCH Calc",'Pivot Table for Fact Book'!$A$3,"State","VA","type",2,"Type2","Four-Year")</f>
        <v>0</v>
      </c>
      <c r="F19" s="195">
        <f>GETPIVOTDATA("Sum of OLD-Tot UG SCH Calc",'Pivot Table for Fact Book'!$A$3,"State","VA","type",3,"Type2","Four-Year")</f>
        <v>0</v>
      </c>
      <c r="G19" s="116">
        <f>GETPIVOTDATA("Sum of NEW-Tot UG SCH Calc",'Pivot Table for Fact Book'!$A$3,"State","VA","type",3,"Type2","Four-Year")</f>
        <v>0</v>
      </c>
      <c r="H19" s="195">
        <f>GETPIVOTDATA("Sum of OLD-Tot UG SCH Calc",'Pivot Table for Fact Book'!$A$3,"State","VA","type",4,"Type2","Four-Year")</f>
        <v>0</v>
      </c>
      <c r="I19" s="116">
        <f>GETPIVOTDATA("Sum of NEW-Tot UG SCH Calc",'Pivot Table for Fact Book'!$A$3,"State","VA","type",4,"Type2","Four-Year")</f>
        <v>0</v>
      </c>
      <c r="J19" s="195">
        <f>GETPIVOTDATA("Sum of OLD-Tot UG SCH Calc",'Pivot Table for Fact Book'!$A$3,"State","VA","type",5,"Type2","Four-Year")</f>
        <v>0</v>
      </c>
      <c r="K19" s="116">
        <f>GETPIVOTDATA("Sum of NEW-Tot UG SCH Calc",'Pivot Table for Fact Book'!$A$3,"State","VA","type",5,"Type2","Four-Year")</f>
        <v>0</v>
      </c>
      <c r="L19" s="195">
        <f>GETPIVOTDATA("Sum of OLD-Tot UG SCH Calc",'Pivot Table for Fact Book'!$A$3,"State","VA","type",6,"Type2","Four-Year")</f>
        <v>0</v>
      </c>
      <c r="M19" s="116">
        <f>GETPIVOTDATA("Sum of NEW-Tot UG SCH Calc",'Pivot Table for Fact Book'!$A$3,"State","VA","type",6,"Type2","Four-Year")</f>
        <v>0</v>
      </c>
      <c r="N19" s="195">
        <f>GETPIVOTDATA("Sum of OLD-Tot UG SCH Calc",'Pivot Table for Fact Book'!$A$3,"State","VA","type",15,"Type2","Four-Year")</f>
        <v>0</v>
      </c>
      <c r="O19" s="116">
        <f>GETPIVOTDATA("Sum of NEW-Tot UG SCH Calc",'Pivot Table for Fact Book'!$A$3,"State","VA","type",15,"Type2","Four-Year")</f>
        <v>0</v>
      </c>
      <c r="P19" s="196">
        <f>GETPIVOTDATA("Sum of OLD-Tot UG SCH Calc",'Pivot Table for Fact Book'!$A$3,"State","VA","Type2","Four-Year")</f>
        <v>0</v>
      </c>
      <c r="Q19" s="196">
        <f>GETPIVOTDATA("Sum of NEW-Tot UG SCH Calc",'Pivot Table for Fact Book'!$A$3,"State","VA","Type2","Four-Year")</f>
        <v>0</v>
      </c>
      <c r="R19" s="195">
        <f>GETPIVOTDATA("Sum of OLD-Tot UG SCH Calc",'Pivot Table for Fact Book'!$A$3,"State","VA","type",7,"Type2","Two-Year")</f>
        <v>0</v>
      </c>
      <c r="S19" s="197">
        <f>GETPIVOTDATA("Sum of NEW-Tot UG SCH Calc",'Pivot Table for Fact Book'!$A$3,"State","VA","type",7,"Type2","Two-Year")</f>
        <v>0</v>
      </c>
      <c r="T19" s="197">
        <f>GETPIVOTDATA("Sum of OLD-Tot UG SCH Calc",'Pivot Table for Fact Book'!$A$3,"State","VA","type",8,"Type2","Two-Year")</f>
        <v>0</v>
      </c>
      <c r="U19" s="197">
        <f>GETPIVOTDATA("Sum of NEW-Tot UG SCH Calc",'Pivot Table for Fact Book'!$A$3,"State","VA","type",8,"Type2","Two-Year")</f>
        <v>0</v>
      </c>
      <c r="V19" s="197">
        <f>GETPIVOTDATA("Sum of OLD-Tot UG SCH Calc",'Pivot Table for Fact Book'!$A$3,"State","VA","type",9,"Type2","Two-Year")</f>
        <v>0</v>
      </c>
      <c r="W19" s="197">
        <f>GETPIVOTDATA("Sum of NEW-Tot UG SCH Calc",'Pivot Table for Fact Book'!$A$3,"State","VA","type",9,"Type2","Two-Year")</f>
        <v>0</v>
      </c>
      <c r="X19" s="197">
        <f>GETPIVOTDATA("Sum of OLD-Tot UG SCH Calc",'Pivot Table for Fact Book'!$A$3,"State","VA","type",10,"Type2","Two-Year")</f>
        <v>0</v>
      </c>
      <c r="Y19" s="197">
        <f>GETPIVOTDATA("Sum of NEW-Tot UG SCH Calc",'Pivot Table for Fact Book'!$A$3,"State","VA","type",10,"Type2","Two-Year")</f>
        <v>0</v>
      </c>
      <c r="Z19" s="198">
        <f>GETPIVOTDATA("Sum of OLD-Tot UG SCH Calc",'Pivot Table for Fact Book'!$A$3,"State","VA","Type2","Two-Year")</f>
        <v>0</v>
      </c>
      <c r="AA19" s="198">
        <f>GETPIVOTDATA("Sum of NEW-Tot UG SCH Calc",'Pivot Table for Fact Book'!$A$3,"State","VA","Type2","Two-Year")</f>
        <v>0</v>
      </c>
      <c r="AB19" s="195">
        <f>GETPIVOTDATA("Sum of OLD-Tot UG SCH Calc",'Pivot Table for Fact Book'!$A$3,"State","VA","type",12,"Type2","Technical")</f>
        <v>0</v>
      </c>
      <c r="AC19" s="197">
        <f>GETPIVOTDATA("Sum of NEW-Tot UG SCH Calc",'Pivot Table for Fact Book'!$A$3,"State","VA","type",12,"Type2","Technical")</f>
        <v>0</v>
      </c>
      <c r="AD19" s="195">
        <f>GETPIVOTDATA("Sum of OLD-Tot UG SCH Calc",'Pivot Table for Fact Book'!$A$3,"State","VA","type",13,"Type2","Technical")</f>
        <v>0</v>
      </c>
      <c r="AE19" s="197">
        <f>GETPIVOTDATA("Sum of NEW-Tot UG SCH Calc",'Pivot Table for Fact Book'!$A$3,"State","VA","type",13,"Type2","Technical")</f>
        <v>0</v>
      </c>
      <c r="AF19" s="195">
        <f>GETPIVOTDATA("Sum of OLD-Tot UG SCH Calc",'Pivot Table for Fact Book'!$A$3,"State","VA","type",14,"Type2","Technical")</f>
        <v>0</v>
      </c>
      <c r="AG19" s="197">
        <f>GETPIVOTDATA("Sum of NEW-Tot UG SCH Calc",'Pivot Table for Fact Book'!$A$3,"State","VA","type",14,"Type2","Technical")</f>
        <v>0</v>
      </c>
      <c r="AH19" s="737">
        <f>GETPIVOTDATA("Sum of OLD-Tot UG SCH Calc",'Pivot Table for Fact Book'!$A$3,"State","VA","Type2","Technical")</f>
        <v>0</v>
      </c>
      <c r="AI19" s="199">
        <f>GETPIVOTDATA("Sum of NEW-Tot UG SCH Calc",'Pivot Table for Fact Book'!$A$3,"State","VA","Type2","Technical")</f>
        <v>0</v>
      </c>
      <c r="AJ19" s="1"/>
    </row>
    <row r="20" spans="1:36">
      <c r="A20" s="175" t="s">
        <v>206</v>
      </c>
      <c r="B20" s="195">
        <f>GETPIVOTDATA("Sum of OLD-Tot UG SCH Calc",'Pivot Table for Fact Book'!$A$3,"State","WV","type",1,"Type2","Four-Year")</f>
        <v>622418</v>
      </c>
      <c r="C20" s="116">
        <f>GETPIVOTDATA("Sum of NEW-Tot UG SCH Calc",'Pivot Table for Fact Book'!$A$3,"State","WV","type",1,"Type2","Four-Year")</f>
        <v>636145</v>
      </c>
      <c r="D20" s="195">
        <f>GETPIVOTDATA("Sum of OLD-Tot UG SCH Calc",'Pivot Table for Fact Book'!$A$3,"State","WV","type",2,"Type2","Four-Year")</f>
        <v>0</v>
      </c>
      <c r="E20" s="116">
        <f>GETPIVOTDATA("Sum of NEW-Tot UG SCH Calc",'Pivot Table for Fact Book'!$A$3,"State","WV","type",2,"Type2","Four-Year")</f>
        <v>0</v>
      </c>
      <c r="F20" s="195">
        <f>GETPIVOTDATA("Sum of OLD-Tot UG SCH Calc",'Pivot Table for Fact Book'!$A$3,"State","WV","type",3,"Type2","Four-Year")</f>
        <v>257348</v>
      </c>
      <c r="G20" s="116">
        <f>GETPIVOTDATA("Sum of NEW-Tot UG SCH Calc",'Pivot Table for Fact Book'!$A$3,"State","WV","type",3,"Type2","Four-Year")</f>
        <v>252632</v>
      </c>
      <c r="H20" s="195">
        <f>GETPIVOTDATA("Sum of OLD-Tot UG SCH Calc",'Pivot Table for Fact Book'!$A$3,"State","WV","type",4,"Type2","Four-Year")</f>
        <v>0</v>
      </c>
      <c r="I20" s="116">
        <f>GETPIVOTDATA("Sum of NEW-Tot UG SCH Calc",'Pivot Table for Fact Book'!$A$3,"State","WV","type",4,"Type2","Four-Year")</f>
        <v>0</v>
      </c>
      <c r="J20" s="195">
        <f>GETPIVOTDATA("Sum of OLD-Tot UG SCH Calc",'Pivot Table for Fact Book'!$A$3,"State","WV","type",5,"Type2","Four-Year")</f>
        <v>0</v>
      </c>
      <c r="K20" s="116">
        <f>GETPIVOTDATA("Sum of NEW-Tot UG SCH Calc",'Pivot Table for Fact Book'!$A$3,"State","WV","type",5,"Type2","Four-Year")</f>
        <v>0</v>
      </c>
      <c r="L20" s="195">
        <f>GETPIVOTDATA("Sum of OLD-Tot UG SCH Calc",'Pivot Table for Fact Book'!$A$3,"State","WV","type",6,"Type2","Four-Year")</f>
        <v>554423</v>
      </c>
      <c r="M20" s="116">
        <f>GETPIVOTDATA("Sum of NEW-Tot UG SCH Calc",'Pivot Table for Fact Book'!$A$3,"State","WV","type",6,"Type2","Four-Year")</f>
        <v>559078</v>
      </c>
      <c r="N20" s="195">
        <f>GETPIVOTDATA("Sum of OLD-Tot UG SCH Calc",'Pivot Table for Fact Book'!$A$3,"State","WV","type",15,"Type2","Four-Year")</f>
        <v>0</v>
      </c>
      <c r="O20" s="116">
        <f>GETPIVOTDATA("Sum of NEW-Tot UG SCH Calc",'Pivot Table for Fact Book'!$A$3,"State","WV","type",15,"Type2","Four-Year")</f>
        <v>0</v>
      </c>
      <c r="P20" s="196">
        <f>GETPIVOTDATA("Sum of OLD-Tot UG SCH Calc",'Pivot Table for Fact Book'!$A$3,"State","WV","Type2","Four-Year")</f>
        <v>1434189</v>
      </c>
      <c r="Q20" s="196">
        <f>GETPIVOTDATA("Sum of NEW-Tot UG SCH Calc",'Pivot Table for Fact Book'!$A$3,"State","WV","Type2","Four-Year")</f>
        <v>1447855</v>
      </c>
      <c r="R20" s="195">
        <f>GETPIVOTDATA("Sum of OLD-Tot UG SCH Calc",'Pivot Table for Fact Book'!$A$3,"State","WV","type",7,"Type2","Two-Year")</f>
        <v>84369</v>
      </c>
      <c r="S20" s="197">
        <f>GETPIVOTDATA("Sum of NEW-Tot UG SCH Calc",'Pivot Table for Fact Book'!$A$3,"State","WV","type",7,"Type2","Two-Year")</f>
        <v>84169</v>
      </c>
      <c r="T20" s="197">
        <f>GETPIVOTDATA("Sum of OLD-Tot UG SCH Calc",'Pivot Table for Fact Book'!$A$3,"State","WV","type",8,"Type2","Two-Year")</f>
        <v>0</v>
      </c>
      <c r="U20" s="197">
        <f>GETPIVOTDATA("Sum of NEW-Tot UG SCH Calc",'Pivot Table for Fact Book'!$A$3,"State","WV","type",8,"Type2","Two-Year")</f>
        <v>0</v>
      </c>
      <c r="V20" s="197">
        <f>GETPIVOTDATA("Sum of OLD-Tot UG SCH Calc",'Pivot Table for Fact Book'!$A$3,"State","WV","type",9,"Type2","Two-Year")</f>
        <v>55730</v>
      </c>
      <c r="W20" s="197">
        <f>GETPIVOTDATA("Sum of NEW-Tot UG SCH Calc",'Pivot Table for Fact Book'!$A$3,"State","WV","type",9,"Type2","Two-Year")</f>
        <v>56236</v>
      </c>
      <c r="X20" s="197">
        <f>GETPIVOTDATA("Sum of OLD-Tot UG SCH Calc",'Pivot Table for Fact Book'!$A$3,"State","WV","type",10,"Type2","Two-Year")</f>
        <v>28553</v>
      </c>
      <c r="Y20" s="197">
        <f>GETPIVOTDATA("Sum of NEW-Tot UG SCH Calc",'Pivot Table for Fact Book'!$A$3,"State","WV","type",10,"Type2","Two-Year")</f>
        <v>33268</v>
      </c>
      <c r="Z20" s="198">
        <f>GETPIVOTDATA("Sum of OLD-Tot UG SCH Calc",'Pivot Table for Fact Book'!$A$3,"State","WV","Type2","Two-Year")</f>
        <v>168652</v>
      </c>
      <c r="AA20" s="198">
        <f>GETPIVOTDATA("Sum of NEW-Tot UG SCH Calc",'Pivot Table for Fact Book'!$A$3,"State","WV","Type2","Two-Year")</f>
        <v>173673</v>
      </c>
      <c r="AB20" s="195">
        <f>GETPIVOTDATA("Sum of OLD-Tot UG SCH Calc",'Pivot Table for Fact Book'!$A$3,"State","WV","type",12,"Type2","Technical")</f>
        <v>0</v>
      </c>
      <c r="AC20" s="197">
        <f>GETPIVOTDATA("Sum of NEW-Tot UG SCH Calc",'Pivot Table for Fact Book'!$A$3,"State","WV","type",12,"Type2","Technical")</f>
        <v>0</v>
      </c>
      <c r="AD20" s="195">
        <f>GETPIVOTDATA("Sum of OLD-Tot UG SCH Calc",'Pivot Table for Fact Book'!$A$3,"State","WV","type",13,"Type2","Technical")</f>
        <v>0</v>
      </c>
      <c r="AE20" s="197">
        <f>GETPIVOTDATA("Sum of NEW-Tot UG SCH Calc",'Pivot Table for Fact Book'!$A$3,"State","WV","type",13,"Type2","Technical")</f>
        <v>0</v>
      </c>
      <c r="AF20" s="195">
        <f>GETPIVOTDATA("Sum of OLD-Tot UG SCH Calc",'Pivot Table for Fact Book'!$A$3,"State","WV","type",14,"Type2","Technical")</f>
        <v>0</v>
      </c>
      <c r="AG20" s="197">
        <f>GETPIVOTDATA("Sum of NEW-Tot UG SCH Calc",'Pivot Table for Fact Book'!$A$3,"State","WV","type",14,"Type2","Technical")</f>
        <v>0</v>
      </c>
      <c r="AH20" s="737">
        <f>GETPIVOTDATA("Sum of OLD-Tot UG SCH Calc",'Pivot Table for Fact Book'!$A$3,"State","WV","Type2","Technical")</f>
        <v>0</v>
      </c>
      <c r="AI20" s="199">
        <f>GETPIVOTDATA("Sum of NEW-Tot UG SCH Calc",'Pivot Table for Fact Book'!$A$3,"State","WV","Type2","Technical")</f>
        <v>0</v>
      </c>
      <c r="AJ20" s="1"/>
    </row>
    <row r="21" spans="1:36">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c r="A22" s="149" t="s">
        <v>148</v>
      </c>
    </row>
    <row r="23" spans="1:36">
      <c r="B23" s="176" t="s">
        <v>144</v>
      </c>
      <c r="C23" s="172"/>
      <c r="D23" s="172"/>
      <c r="E23" s="172"/>
      <c r="F23" s="172"/>
      <c r="G23" s="172"/>
      <c r="H23" s="172"/>
      <c r="I23" s="172"/>
      <c r="J23" s="172"/>
      <c r="K23" s="172"/>
      <c r="L23" s="172"/>
      <c r="M23" s="172"/>
      <c r="N23" s="172"/>
      <c r="O23" s="172"/>
      <c r="P23" s="172"/>
      <c r="Q23" s="170"/>
      <c r="R23" s="177" t="s">
        <v>146</v>
      </c>
      <c r="S23" s="173"/>
      <c r="T23" s="173"/>
      <c r="U23" s="173"/>
      <c r="V23" s="173"/>
      <c r="W23" s="173"/>
      <c r="X23" s="173"/>
      <c r="Y23" s="173"/>
      <c r="Z23" s="173"/>
      <c r="AA23" s="171"/>
      <c r="AB23" s="178" t="s">
        <v>147</v>
      </c>
      <c r="AC23" s="174"/>
      <c r="AD23" s="174"/>
      <c r="AE23" s="174"/>
      <c r="AF23" s="174"/>
      <c r="AG23" s="174"/>
      <c r="AH23" s="174"/>
      <c r="AI23" s="174"/>
    </row>
    <row r="24" spans="1:36">
      <c r="B24" s="179">
        <v>1</v>
      </c>
      <c r="C24" s="181"/>
      <c r="D24" s="179">
        <v>2</v>
      </c>
      <c r="E24" s="181"/>
      <c r="F24" s="179">
        <v>3</v>
      </c>
      <c r="G24" s="181"/>
      <c r="H24" s="179">
        <v>4</v>
      </c>
      <c r="I24" s="181"/>
      <c r="J24" s="179">
        <v>5</v>
      </c>
      <c r="K24" s="181"/>
      <c r="L24" s="179">
        <v>6</v>
      </c>
      <c r="M24" s="181"/>
      <c r="N24" s="179">
        <v>15</v>
      </c>
      <c r="O24" s="181"/>
      <c r="P24" s="179" t="s">
        <v>145</v>
      </c>
      <c r="Q24" s="180"/>
      <c r="R24" s="189">
        <v>7</v>
      </c>
      <c r="S24" s="190"/>
      <c r="T24" s="189">
        <v>8</v>
      </c>
      <c r="U24" s="190"/>
      <c r="V24" s="189">
        <v>9</v>
      </c>
      <c r="W24" s="190"/>
      <c r="X24" s="189">
        <v>10</v>
      </c>
      <c r="Y24" s="190"/>
      <c r="Z24" s="189" t="s">
        <v>145</v>
      </c>
      <c r="AA24" s="190"/>
      <c r="AB24" s="191">
        <v>12</v>
      </c>
      <c r="AC24" s="192"/>
      <c r="AD24" s="191">
        <v>13</v>
      </c>
      <c r="AE24" s="192"/>
      <c r="AF24" s="191">
        <v>14</v>
      </c>
      <c r="AG24" s="192"/>
      <c r="AH24" s="191" t="s">
        <v>145</v>
      </c>
      <c r="AI24" s="192"/>
    </row>
    <row r="25" spans="1:36">
      <c r="B25" s="182" t="s">
        <v>143</v>
      </c>
      <c r="C25" s="183" t="s">
        <v>838</v>
      </c>
      <c r="D25" s="182" t="s">
        <v>143</v>
      </c>
      <c r="E25" s="183" t="s">
        <v>838</v>
      </c>
      <c r="F25" s="182" t="s">
        <v>143</v>
      </c>
      <c r="G25" s="183" t="s">
        <v>838</v>
      </c>
      <c r="H25" s="182" t="s">
        <v>143</v>
      </c>
      <c r="I25" s="183" t="s">
        <v>838</v>
      </c>
      <c r="J25" s="182" t="s">
        <v>143</v>
      </c>
      <c r="K25" s="183" t="s">
        <v>838</v>
      </c>
      <c r="L25" s="182" t="s">
        <v>143</v>
      </c>
      <c r="M25" s="183" t="s">
        <v>838</v>
      </c>
      <c r="N25" s="182" t="s">
        <v>143</v>
      </c>
      <c r="O25" s="183" t="s">
        <v>838</v>
      </c>
      <c r="P25" s="182" t="s">
        <v>143</v>
      </c>
      <c r="Q25" s="184" t="s">
        <v>838</v>
      </c>
      <c r="R25" s="185" t="s">
        <v>143</v>
      </c>
      <c r="S25" s="186" t="s">
        <v>838</v>
      </c>
      <c r="T25" s="185" t="s">
        <v>143</v>
      </c>
      <c r="U25" s="186" t="s">
        <v>838</v>
      </c>
      <c r="V25" s="185" t="s">
        <v>143</v>
      </c>
      <c r="W25" s="186" t="s">
        <v>838</v>
      </c>
      <c r="X25" s="185" t="s">
        <v>143</v>
      </c>
      <c r="Y25" s="186" t="s">
        <v>838</v>
      </c>
      <c r="Z25" s="185" t="s">
        <v>143</v>
      </c>
      <c r="AA25" s="193" t="s">
        <v>838</v>
      </c>
      <c r="AB25" s="187" t="s">
        <v>143</v>
      </c>
      <c r="AC25" s="188" t="s">
        <v>838</v>
      </c>
      <c r="AD25" s="187" t="s">
        <v>143</v>
      </c>
      <c r="AE25" s="188" t="s">
        <v>838</v>
      </c>
      <c r="AF25" s="187" t="s">
        <v>143</v>
      </c>
      <c r="AG25" s="188" t="s">
        <v>838</v>
      </c>
      <c r="AH25" s="187" t="s">
        <v>143</v>
      </c>
      <c r="AI25" s="194" t="s">
        <v>838</v>
      </c>
      <c r="AJ25" s="1"/>
    </row>
    <row r="26" spans="1:36">
      <c r="A26" s="175" t="s">
        <v>220</v>
      </c>
      <c r="B26" s="195">
        <f>GETPIVOTDATA("Sum of Old UG E-Learning",'Pivot Table for Fact Book'!$A$3,"State","AL","type",1,"Type2","Four-Year")</f>
        <v>37606</v>
      </c>
      <c r="C26" s="116">
        <f>GETPIVOTDATA("Sum of New UG E-Learning",'Pivot Table for Fact Book'!$A$3,"State","AL","type",1,"Type2","Four-Year")</f>
        <v>48700</v>
      </c>
      <c r="D26" s="195">
        <f>GETPIVOTDATA("Sum of Old UG E-Learning",'Pivot Table for Fact Book'!$A$3,"State","AL","type",2,"Type2","Four-Year")</f>
        <v>1314</v>
      </c>
      <c r="E26" s="116">
        <f>GETPIVOTDATA("Sum of New UG E-Learning",'Pivot Table for Fact Book'!$A$3,"State","AL","type",2,"Type2","Four-Year")</f>
        <v>2124</v>
      </c>
      <c r="F26" s="195">
        <f>GETPIVOTDATA("Sum of Old UG E-Learning",'Pivot Table for Fact Book'!$A$3,"State","AL","type",3,"Type2","Four-Year")</f>
        <v>134010</v>
      </c>
      <c r="G26" s="116">
        <f>GETPIVOTDATA("Sum of New UG E-Learning",'Pivot Table for Fact Book'!$A$3,"State","AL","type",3,"Type2","Four-Year")</f>
        <v>108767</v>
      </c>
      <c r="H26" s="195">
        <f>GETPIVOTDATA("Sum of Old UG E-Learning",'Pivot Table for Fact Book'!$A$3,"State","AL","type",4,"Type2","Four-Year")</f>
        <v>17942</v>
      </c>
      <c r="I26" s="116">
        <f>GETPIVOTDATA("Sum of New UG E-Learning",'Pivot Table for Fact Book'!$A$3,"State","AL","type",4,"Type2","Four-Year")</f>
        <v>22977</v>
      </c>
      <c r="J26" s="195">
        <f>GETPIVOTDATA("Sum of Old UG E-Learning",'Pivot Table for Fact Book'!$A$3,"State","AL","type",5,"Type2","Four-Year")</f>
        <v>2414</v>
      </c>
      <c r="K26" s="116">
        <f>GETPIVOTDATA("Sum of New UG E-Learning",'Pivot Table for Fact Book'!$A$3,"State","AL","type",5,"Type2","Four-Year")</f>
        <v>3149</v>
      </c>
      <c r="L26" s="195">
        <f>GETPIVOTDATA("Sum of Old UG E-Learning",'Pivot Table for Fact Book'!$A$3,"State","AL","type",6,"Type2","Four-Year")</f>
        <v>46467</v>
      </c>
      <c r="M26" s="116">
        <f>GETPIVOTDATA("Sum of New UG E-Learning",'Pivot Table for Fact Book'!$A$3,"State","AL","type",6,"Type2","Four-Year")</f>
        <v>54671</v>
      </c>
      <c r="N26" s="195">
        <f>GETPIVOTDATA("Sum of Old UG E-Learning",'Pivot Table for Fact Book'!$A$3,"State","AL","type",15,"Type2","Four-Year")</f>
        <v>0</v>
      </c>
      <c r="O26" s="116">
        <f>GETPIVOTDATA("Sum of New UG E-Learning",'Pivot Table for Fact Book'!$A$3,"State","AL","type",15,"Type2","Four-Year")</f>
        <v>0</v>
      </c>
      <c r="P26" s="196">
        <f>GETPIVOTDATA("Sum of Old UG E-Learning",'Pivot Table for Fact Book'!$A$3,"State","AL","Type2","Four-Year")</f>
        <v>239753</v>
      </c>
      <c r="Q26" s="196">
        <f>GETPIVOTDATA("Sum of New UG E-Learning",'Pivot Table for Fact Book'!$A$3,"State","AL","Type2","Four-Year")</f>
        <v>240388</v>
      </c>
      <c r="R26" s="195">
        <f>GETPIVOTDATA("Sum of Old UG E-Learning",'Pivot Table for Fact Book'!$A$3,"State","AL","type",7,"Type2","Two-Year")</f>
        <v>0</v>
      </c>
      <c r="S26" s="197">
        <f>GETPIVOTDATA("Sum of New UG E-Learning",'Pivot Table for Fact Book'!$A$3,"State","AL","type",7,"Type2","Two-Year")</f>
        <v>0</v>
      </c>
      <c r="T26" s="197">
        <f>GETPIVOTDATA("Sum of Old UG E-Learning",'Pivot Table for Fact Book'!$A$3,"State","AL","type",8,"Type2","Two-Year")</f>
        <v>43168</v>
      </c>
      <c r="U26" s="197">
        <f>GETPIVOTDATA("Sum of New UG E-Learning",'Pivot Table for Fact Book'!$A$3,"State","AL","type",8,"Type2","Two-Year")</f>
        <v>46530</v>
      </c>
      <c r="V26" s="197">
        <f>GETPIVOTDATA("Sum of Old UG E-Learning",'Pivot Table for Fact Book'!$A$3,"State","AL","type",9,"Type2","Two-Year")</f>
        <v>86805</v>
      </c>
      <c r="W26" s="197">
        <f>GETPIVOTDATA("Sum of New UG E-Learning",'Pivot Table for Fact Book'!$A$3,"State","AL","type",9,"Type2","Two-Year")</f>
        <v>117765</v>
      </c>
      <c r="X26" s="197">
        <f>GETPIVOTDATA("Sum of Old UG E-Learning",'Pivot Table for Fact Book'!$A$3,"State","AL","type",10,"Type2","Two-Year")</f>
        <v>61348</v>
      </c>
      <c r="Y26" s="197">
        <f>GETPIVOTDATA("Sum of New UG E-Learning",'Pivot Table for Fact Book'!$A$3,"State","AL","type",10,"Type2","Two-Year")</f>
        <v>75449</v>
      </c>
      <c r="Z26" s="198">
        <f>GETPIVOTDATA("Sum of Old UG E-Learning",'Pivot Table for Fact Book'!$A$3,"State","AL","Type2","Two-Year")</f>
        <v>191321</v>
      </c>
      <c r="AA26" s="198">
        <f>GETPIVOTDATA("Sum of New UG E-Learning",'Pivot Table for Fact Book'!$A$3,"State","AL","Type2","Two-Year")</f>
        <v>239744</v>
      </c>
      <c r="AB26" s="195">
        <f>GETPIVOTDATA("Sum of Old UG E-Learning",'Pivot Table for Fact Book'!$A$3,"State","AL","type",12,"Type2","Technical")</f>
        <v>3727</v>
      </c>
      <c r="AC26" s="197">
        <f>GETPIVOTDATA("Sum of New UG E-Learning",'Pivot Table for Fact Book'!$A$3,"State","AL","type",12,"Type2","Technical")</f>
        <v>3120</v>
      </c>
      <c r="AD26" s="197">
        <f>GETPIVOTDATA("Sum of Old UG E-Learning",'Pivot Table for Fact Book'!$A$3,"State","AL","type",13,"Type2","Technical")</f>
        <v>0</v>
      </c>
      <c r="AE26" s="197">
        <f>GETPIVOTDATA("Sum of New UG E-Learning",'Pivot Table for Fact Book'!$A$3,"State","AL","type",13,"Type2","Technical")</f>
        <v>0</v>
      </c>
      <c r="AF26" s="197">
        <f>GETPIVOTDATA("Sum of Old UG E-Learning",'Pivot Table for Fact Book'!$A$3,"State","AL","type",14,"Type2","Technical")</f>
        <v>0</v>
      </c>
      <c r="AG26" s="197">
        <f>GETPIVOTDATA("Sum of New UG E-Learning",'Pivot Table for Fact Book'!$A$3,"State","AL","type",14,"Type2","Technical")</f>
        <v>0</v>
      </c>
      <c r="AH26" s="199">
        <f>GETPIVOTDATA("Sum of Old UG E-Learning",'Pivot Table for Fact Book'!$A$3,"State","AL","Type2","Technical")</f>
        <v>3727</v>
      </c>
      <c r="AI26" s="199">
        <f>GETPIVOTDATA("Sum of New UG E-Learning",'Pivot Table for Fact Book'!$A$3,"State","AL","Type2","Technical")</f>
        <v>3120</v>
      </c>
      <c r="AJ26" s="1"/>
    </row>
    <row r="27" spans="1:36">
      <c r="A27" s="175" t="s">
        <v>221</v>
      </c>
      <c r="B27" s="195">
        <f>GETPIVOTDATA("Sum of Old UG E-Learning",'Pivot Table for Fact Book'!$A$3,"State","AR","type",1,"Type2","Four-Year")</f>
        <v>6149</v>
      </c>
      <c r="C27" s="116">
        <f>GETPIVOTDATA("Sum of New UG E-Learning",'Pivot Table for Fact Book'!$A$3,"State","AR","type",1,"Type2","Four-Year")</f>
        <v>7936</v>
      </c>
      <c r="D27" s="195">
        <f>GETPIVOTDATA("Sum of Old UG E-Learning",'Pivot Table for Fact Book'!$A$3,"State","AR","type",2,"Type2","Four-Year")</f>
        <v>0</v>
      </c>
      <c r="E27" s="116">
        <f>GETPIVOTDATA("Sum of New UG E-Learning",'Pivot Table for Fact Book'!$A$3,"State","AR","type",2,"Type2","Four-Year")</f>
        <v>0</v>
      </c>
      <c r="F27" s="195">
        <f>GETPIVOTDATA("Sum of Old UG E-Learning",'Pivot Table for Fact Book'!$A$3,"State","AR","type",3,"Type2","Four-Year")</f>
        <v>62317</v>
      </c>
      <c r="G27" s="116">
        <f>GETPIVOTDATA("Sum of New UG E-Learning",'Pivot Table for Fact Book'!$A$3,"State","AR","type",3,"Type2","Four-Year")</f>
        <v>83012</v>
      </c>
      <c r="H27" s="195">
        <f>GETPIVOTDATA("Sum of Old UG E-Learning",'Pivot Table for Fact Book'!$A$3,"State","AR","type",4,"Type2","Four-Year")</f>
        <v>16659</v>
      </c>
      <c r="I27" s="116">
        <f>GETPIVOTDATA("Sum of New UG E-Learning",'Pivot Table for Fact Book'!$A$3,"State","AR","type",4,"Type2","Four-Year")</f>
        <v>26769</v>
      </c>
      <c r="J27" s="195">
        <f>GETPIVOTDATA("Sum of Old UG E-Learning",'Pivot Table for Fact Book'!$A$3,"State","AR","type",5,"Type2","Four-Year")</f>
        <v>12237</v>
      </c>
      <c r="K27" s="116">
        <f>GETPIVOTDATA("Sum of New UG E-Learning",'Pivot Table for Fact Book'!$A$3,"State","AR","type",5,"Type2","Four-Year")</f>
        <v>13726</v>
      </c>
      <c r="L27" s="195">
        <f>GETPIVOTDATA("Sum of Old UG E-Learning",'Pivot Table for Fact Book'!$A$3,"State","AR","type",6,"Type2","Four-Year")</f>
        <v>18639</v>
      </c>
      <c r="M27" s="116">
        <f>GETPIVOTDATA("Sum of New UG E-Learning",'Pivot Table for Fact Book'!$A$3,"State","AR","type",6,"Type2","Four-Year")</f>
        <v>24465</v>
      </c>
      <c r="N27" s="195">
        <f>GETPIVOTDATA("Sum of Old UG E-Learning",'Pivot Table for Fact Book'!$A$3,"State","AR","type",15,"Type2","Four-Year")</f>
        <v>0</v>
      </c>
      <c r="O27" s="116">
        <f>GETPIVOTDATA("Sum of New UG E-Learning",'Pivot Table for Fact Book'!$A$3,"State","AR","type",15,"Type2","Four-Year")</f>
        <v>0</v>
      </c>
      <c r="P27" s="196">
        <f>GETPIVOTDATA("Sum of Old UG E-Learning",'Pivot Table for Fact Book'!$A$3,"State","AR","Type2","Four-Year")</f>
        <v>116001</v>
      </c>
      <c r="Q27" s="196">
        <f>GETPIVOTDATA("Sum of New UG E-Learning",'Pivot Table for Fact Book'!$A$3,"State","AR","Type2","Four-Year")</f>
        <v>155908</v>
      </c>
      <c r="R27" s="195">
        <f>GETPIVOTDATA("Sum of Old UG E-Learning",'Pivot Table for Fact Book'!$A$3,"State","AR","type",7,"Type2","Two-Year")</f>
        <v>0</v>
      </c>
      <c r="S27" s="197">
        <f>GETPIVOTDATA("Sum of New UG E-Learning",'Pivot Table for Fact Book'!$A$3,"State","AR","type",7,"Type2","Two-Year")</f>
        <v>0</v>
      </c>
      <c r="T27" s="197">
        <f>GETPIVOTDATA("Sum of Old UG E-Learning",'Pivot Table for Fact Book'!$A$3,"State","AR","type",8,"Type2","Two-Year")</f>
        <v>44002</v>
      </c>
      <c r="U27" s="197">
        <f>GETPIVOTDATA("Sum of New UG E-Learning",'Pivot Table for Fact Book'!$A$3,"State","AR","type",8,"Type2","Two-Year")</f>
        <v>52543</v>
      </c>
      <c r="V27" s="197">
        <f>GETPIVOTDATA("Sum of Old UG E-Learning",'Pivot Table for Fact Book'!$A$3,"State","AR","type",9,"Type2","Two-Year")</f>
        <v>33038</v>
      </c>
      <c r="W27" s="197">
        <f>GETPIVOTDATA("Sum of New UG E-Learning",'Pivot Table for Fact Book'!$A$3,"State","AR","type",9,"Type2","Two-Year")</f>
        <v>42886</v>
      </c>
      <c r="X27" s="197">
        <f>GETPIVOTDATA("Sum of Old UG E-Learning",'Pivot Table for Fact Book'!$A$3,"State","AR","type",10,"Type2","Two-Year")</f>
        <v>81804</v>
      </c>
      <c r="Y27" s="197">
        <f>GETPIVOTDATA("Sum of New UG E-Learning",'Pivot Table for Fact Book'!$A$3,"State","AR","type",10,"Type2","Two-Year")</f>
        <v>99159</v>
      </c>
      <c r="Z27" s="198">
        <f>GETPIVOTDATA("Sum of Old UG E-Learning",'Pivot Table for Fact Book'!$A$3,"State","AR","Type2","Two-Year")</f>
        <v>158844</v>
      </c>
      <c r="AA27" s="198">
        <f>GETPIVOTDATA("Sum of New UG E-Learning",'Pivot Table for Fact Book'!$A$3,"State","AR","Type2","Two-Year")</f>
        <v>194588</v>
      </c>
      <c r="AB27" s="195">
        <f>GETPIVOTDATA("Sum of Old UG E-Learning",'Pivot Table for Fact Book'!$A$3,"State","AR","type",12,"Type2","Technical")</f>
        <v>0</v>
      </c>
      <c r="AC27" s="197">
        <f>GETPIVOTDATA("Sum of New UG E-Learning",'Pivot Table for Fact Book'!$A$3,"State","AR","type",12,"Type2","Technical")</f>
        <v>0</v>
      </c>
      <c r="AD27" s="197">
        <f>GETPIVOTDATA("Sum of Old UG E-Learning",'Pivot Table for Fact Book'!$A$3,"State","AR","type",13,"Type2","Technical")</f>
        <v>0</v>
      </c>
      <c r="AE27" s="197">
        <f>GETPIVOTDATA("Sum of New UG E-Learning",'Pivot Table for Fact Book'!$A$3,"State","AR","type",13,"Type2","Technical")</f>
        <v>0</v>
      </c>
      <c r="AF27" s="197">
        <f>GETPIVOTDATA("Sum of Old UG E-Learning",'Pivot Table for Fact Book'!$A$3,"State","AR","type",14,"Type2","Technical")</f>
        <v>0</v>
      </c>
      <c r="AG27" s="197">
        <f>GETPIVOTDATA("Sum of New UG E-Learning",'Pivot Table for Fact Book'!$A$3,"State","AR","type",14,"Type2","Technical")</f>
        <v>0</v>
      </c>
      <c r="AH27" s="199">
        <f>GETPIVOTDATA("Sum of Old UG E-Learning",'Pivot Table for Fact Book'!$A$3,"State","AR","Type2","Technical")</f>
        <v>0</v>
      </c>
      <c r="AI27" s="199">
        <f>GETPIVOTDATA("Sum of New UG E-Learning",'Pivot Table for Fact Book'!$A$3,"State","AR","Type2","Technical")</f>
        <v>0</v>
      </c>
      <c r="AJ27" s="1"/>
    </row>
    <row r="28" spans="1:36">
      <c r="A28" s="175" t="s">
        <v>222</v>
      </c>
      <c r="B28" s="195">
        <f>GETPIVOTDATA("Sum of Old UG E-Learning",'Pivot Table for Fact Book'!$A$3,"State","DE","type",1,"Type2","Four-Year")</f>
        <v>22482</v>
      </c>
      <c r="C28" s="116">
        <f>GETPIVOTDATA("Sum of New UG E-Learning",'Pivot Table for Fact Book'!$A$3,"State","DE","type",1,"Type2","Four-Year")</f>
        <v>24051</v>
      </c>
      <c r="D28" s="195">
        <f>GETPIVOTDATA("Sum of Old UG E-Learning",'Pivot Table for Fact Book'!$A$3,"State","DE","type",2,"Type2","Four-Year")</f>
        <v>0</v>
      </c>
      <c r="E28" s="116">
        <f>GETPIVOTDATA("Sum of New UG E-Learning",'Pivot Table for Fact Book'!$A$3,"State","DE","type",2,"Type2","Four-Year")</f>
        <v>0</v>
      </c>
      <c r="F28" s="195">
        <f>GETPIVOTDATA("Sum of Old UG E-Learning",'Pivot Table for Fact Book'!$A$3,"State","DE","type",3,"Type2","Four-Year")</f>
        <v>0</v>
      </c>
      <c r="G28" s="116">
        <f>GETPIVOTDATA("Sum of New UG E-Learning",'Pivot Table for Fact Book'!$A$3,"State","DE","type",3,"Type2","Four-Year")</f>
        <v>0</v>
      </c>
      <c r="H28" s="195">
        <f>GETPIVOTDATA("Sum of Old UG E-Learning",'Pivot Table for Fact Book'!$A$3,"State","DE","type",4,"Type2","Four-Year")</f>
        <v>0</v>
      </c>
      <c r="I28" s="116">
        <f>GETPIVOTDATA("Sum of New UG E-Learning",'Pivot Table for Fact Book'!$A$3,"State","DE","type",4,"Type2","Four-Year")</f>
        <v>525</v>
      </c>
      <c r="J28" s="195">
        <f>GETPIVOTDATA("Sum of Old UG E-Learning",'Pivot Table for Fact Book'!$A$3,"State","DE","type",5,"Type2","Four-Year")</f>
        <v>0</v>
      </c>
      <c r="K28" s="116">
        <f>GETPIVOTDATA("Sum of New UG E-Learning",'Pivot Table for Fact Book'!$A$3,"State","DE","type",5,"Type2","Four-Year")</f>
        <v>0</v>
      </c>
      <c r="L28" s="195">
        <f>GETPIVOTDATA("Sum of Old UG E-Learning",'Pivot Table for Fact Book'!$A$3,"State","DE","type",6,"Type2","Four-Year")</f>
        <v>0</v>
      </c>
      <c r="M28" s="116">
        <f>GETPIVOTDATA("Sum of New UG E-Learning",'Pivot Table for Fact Book'!$A$3,"State","DE","type",6,"Type2","Four-Year")</f>
        <v>0</v>
      </c>
      <c r="N28" s="195">
        <f>GETPIVOTDATA("Sum of Old UG E-Learning",'Pivot Table for Fact Book'!$A$3,"State","DE","type",15,"Type2","Four-Year")</f>
        <v>0</v>
      </c>
      <c r="O28" s="116">
        <f>GETPIVOTDATA("Sum of New UG E-Learning",'Pivot Table for Fact Book'!$A$3,"State","DE","type",15,"Type2","Four-Year")</f>
        <v>0</v>
      </c>
      <c r="P28" s="196">
        <f>GETPIVOTDATA("Sum of Old UG E-Learning",'Pivot Table for Fact Book'!$A$3,"State","DE","Type2","Four-Year")</f>
        <v>22482</v>
      </c>
      <c r="Q28" s="196">
        <f>GETPIVOTDATA("Sum of New UG E-Learning",'Pivot Table for Fact Book'!$A$3,"State","DE","Type2","Four-Year")</f>
        <v>24576</v>
      </c>
      <c r="R28" s="195">
        <f>GETPIVOTDATA("Sum of Old UG E-Learning",'Pivot Table for Fact Book'!$A$3,"State","DE","type",7,"Type2","Two-Year")</f>
        <v>0</v>
      </c>
      <c r="S28" s="197">
        <f>GETPIVOTDATA("Sum of New UG E-Learning",'Pivot Table for Fact Book'!$A$3,"State","DE","type",7,"Type2","Two-Year")</f>
        <v>0</v>
      </c>
      <c r="T28" s="197">
        <f>GETPIVOTDATA("Sum of Old UG E-Learning",'Pivot Table for Fact Book'!$A$3,"State","DE","type",8,"Type2","Two-Year")</f>
        <v>0</v>
      </c>
      <c r="U28" s="197">
        <f>GETPIVOTDATA("Sum of New UG E-Learning",'Pivot Table for Fact Book'!$A$3,"State","DE","type",8,"Type2","Two-Year")</f>
        <v>0</v>
      </c>
      <c r="V28" s="197">
        <f>GETPIVOTDATA("Sum of Old UG E-Learning",'Pivot Table for Fact Book'!$A$3,"State","DE","type",9,"Type2","Two-Year")</f>
        <v>28674</v>
      </c>
      <c r="W28" s="197">
        <f>GETPIVOTDATA("Sum of New UG E-Learning",'Pivot Table for Fact Book'!$A$3,"State","DE","type",9,"Type2","Two-Year")</f>
        <v>25619</v>
      </c>
      <c r="X28" s="197">
        <f>GETPIVOTDATA("Sum of Old UG E-Learning",'Pivot Table for Fact Book'!$A$3,"State","DE","type",10,"Type2","Two-Year")</f>
        <v>7874</v>
      </c>
      <c r="Y28" s="197">
        <f>GETPIVOTDATA("Sum of New UG E-Learning",'Pivot Table for Fact Book'!$A$3,"State","DE","type",10,"Type2","Two-Year")</f>
        <v>10319</v>
      </c>
      <c r="Z28" s="198">
        <f>GETPIVOTDATA("Sum of Old UG E-Learning",'Pivot Table for Fact Book'!$A$3,"State","DE","Type2","Two-Year")</f>
        <v>36548</v>
      </c>
      <c r="AA28" s="198">
        <f>GETPIVOTDATA("Sum of New UG E-Learning",'Pivot Table for Fact Book'!$A$3,"State","DE","Type2","Two-Year")</f>
        <v>35938</v>
      </c>
      <c r="AB28" s="195">
        <f>GETPIVOTDATA("Sum of Old UG E-Learning",'Pivot Table for Fact Book'!$A$3,"State","DE","type",12,"Type2","Technical")</f>
        <v>0</v>
      </c>
      <c r="AC28" s="197">
        <f>GETPIVOTDATA("Sum of New UG E-Learning",'Pivot Table for Fact Book'!$A$3,"State","DE","type",12,"Type2","Technical")</f>
        <v>0</v>
      </c>
      <c r="AD28" s="197">
        <f>GETPIVOTDATA("Sum of Old UG E-Learning",'Pivot Table for Fact Book'!$A$3,"State","DE","type",13,"Type2","Technical")</f>
        <v>0</v>
      </c>
      <c r="AE28" s="197">
        <f>GETPIVOTDATA("Sum of New UG E-Learning",'Pivot Table for Fact Book'!$A$3,"State","DE","type",13,"Type2","Technical")</f>
        <v>0</v>
      </c>
      <c r="AF28" s="197">
        <f>GETPIVOTDATA("Sum of Old UG E-Learning",'Pivot Table for Fact Book'!$A$3,"State","DE","type",14,"Type2","Technical")</f>
        <v>0</v>
      </c>
      <c r="AG28" s="197">
        <f>GETPIVOTDATA("Sum of New UG E-Learning",'Pivot Table for Fact Book'!$A$3,"State","DE","type",14,"Type2","Technical")</f>
        <v>0</v>
      </c>
      <c r="AH28" s="199">
        <f>GETPIVOTDATA("Sum of Old UG E-Learning",'Pivot Table for Fact Book'!$A$3,"State","DE","Type2","Technical")</f>
        <v>0</v>
      </c>
      <c r="AI28" s="199">
        <f>GETPIVOTDATA("Sum of New UG E-Learning",'Pivot Table for Fact Book'!$A$3,"State","DE","Type2","Technical")</f>
        <v>0</v>
      </c>
      <c r="AJ28" s="1"/>
    </row>
    <row r="29" spans="1:36">
      <c r="A29" s="175" t="s">
        <v>223</v>
      </c>
      <c r="B29" s="195">
        <f>GETPIVOTDATA("Sum of Old UG E-Learning",'Pivot Table for Fact Book'!$A$3,"State","FL","type",1,"Type2","Four-Year")</f>
        <v>611269</v>
      </c>
      <c r="C29" s="116">
        <f>GETPIVOTDATA("Sum of New UG E-Learning",'Pivot Table for Fact Book'!$A$3,"State","FL","type",1,"Type2","Four-Year")</f>
        <v>647183</v>
      </c>
      <c r="D29" s="195">
        <f>GETPIVOTDATA("Sum of Old UG E-Learning",'Pivot Table for Fact Book'!$A$3,"State","FL","type",2,"Type2","Four-Year")</f>
        <v>255853</v>
      </c>
      <c r="E29" s="116">
        <f>GETPIVOTDATA("Sum of New UG E-Learning",'Pivot Table for Fact Book'!$A$3,"State","FL","type",2,"Type2","Four-Year")</f>
        <v>174966</v>
      </c>
      <c r="F29" s="195">
        <f>GETPIVOTDATA("Sum of Old UG E-Learning",'Pivot Table for Fact Book'!$A$3,"State","FL","type",3,"Type2","Four-Year")</f>
        <v>80716</v>
      </c>
      <c r="G29" s="116">
        <f>GETPIVOTDATA("Sum of New UG E-Learning",'Pivot Table for Fact Book'!$A$3,"State","FL","type",3,"Type2","Four-Year")</f>
        <v>86107</v>
      </c>
      <c r="H29" s="195">
        <f>GETPIVOTDATA("Sum of Old UG E-Learning",'Pivot Table for Fact Book'!$A$3,"State","FL","type",4,"Type2","Four-Year")</f>
        <v>32376</v>
      </c>
      <c r="I29" s="116">
        <f>GETPIVOTDATA("Sum of New UG E-Learning",'Pivot Table for Fact Book'!$A$3,"State","FL","type",4,"Type2","Four-Year")</f>
        <v>37335</v>
      </c>
      <c r="J29" s="195">
        <f>GETPIVOTDATA("Sum of Old UG E-Learning",'Pivot Table for Fact Book'!$A$3,"State","FL","type",5,"Type2","Four-Year")</f>
        <v>0</v>
      </c>
      <c r="K29" s="116">
        <f>GETPIVOTDATA("Sum of New UG E-Learning",'Pivot Table for Fact Book'!$A$3,"State","FL","type",5,"Type2","Four-Year")</f>
        <v>0</v>
      </c>
      <c r="L29" s="195">
        <f>GETPIVOTDATA("Sum of Old UG E-Learning",'Pivot Table for Fact Book'!$A$3,"State","FL","type",6,"Type2","Four-Year")</f>
        <v>0</v>
      </c>
      <c r="M29" s="116">
        <f>GETPIVOTDATA("Sum of New UG E-Learning",'Pivot Table for Fact Book'!$A$3,"State","FL","type",6,"Type2","Four-Year")</f>
        <v>0</v>
      </c>
      <c r="N29" s="195">
        <f>GETPIVOTDATA("Sum of Old UG E-Learning",'Pivot Table for Fact Book'!$A$3,"State","FL","type",15,"Type2","Four-Year")</f>
        <v>0</v>
      </c>
      <c r="O29" s="116">
        <f>GETPIVOTDATA("Sum of New UG E-Learning",'Pivot Table for Fact Book'!$A$3,"State","FL","type",15,"Type2","Four-Year")</f>
        <v>0</v>
      </c>
      <c r="P29" s="196">
        <f>GETPIVOTDATA("Sum of Old UG E-Learning",'Pivot Table for Fact Book'!$A$3,"State","FL","Type2","Four-Year")</f>
        <v>980214</v>
      </c>
      <c r="Q29" s="196">
        <f>GETPIVOTDATA("Sum of New UG E-Learning",'Pivot Table for Fact Book'!$A$3,"State","FL","Type2","Four-Year")</f>
        <v>945591</v>
      </c>
      <c r="R29" s="195">
        <f>GETPIVOTDATA("Sum of Old UG E-Learning",'Pivot Table for Fact Book'!$A$3,"State","FL","type",7,"Type2","Two-Year")</f>
        <v>237532</v>
      </c>
      <c r="S29" s="197">
        <f>GETPIVOTDATA("Sum of New UG E-Learning",'Pivot Table for Fact Book'!$A$3,"State","FL","type",7,"Type2","Two-Year")</f>
        <v>285255</v>
      </c>
      <c r="T29" s="197">
        <f>GETPIVOTDATA("Sum of Old UG E-Learning",'Pivot Table for Fact Book'!$A$3,"State","FL","type",8,"Type2","Two-Year")</f>
        <v>696228</v>
      </c>
      <c r="U29" s="197">
        <f>GETPIVOTDATA("Sum of New UG E-Learning",'Pivot Table for Fact Book'!$A$3,"State","FL","type",8,"Type2","Two-Year")</f>
        <v>898035</v>
      </c>
      <c r="V29" s="197">
        <f>GETPIVOTDATA("Sum of Old UG E-Learning",'Pivot Table for Fact Book'!$A$3,"State","FL","type",9,"Type2","Two-Year")</f>
        <v>100979</v>
      </c>
      <c r="W29" s="197">
        <f>GETPIVOTDATA("Sum of New UG E-Learning",'Pivot Table for Fact Book'!$A$3,"State","FL","type",9,"Type2","Two-Year")</f>
        <v>126266</v>
      </c>
      <c r="X29" s="197">
        <f>GETPIVOTDATA("Sum of Old UG E-Learning",'Pivot Table for Fact Book'!$A$3,"State","FL","type",10,"Type2","Two-Year")</f>
        <v>8275</v>
      </c>
      <c r="Y29" s="197">
        <f>GETPIVOTDATA("Sum of New UG E-Learning",'Pivot Table for Fact Book'!$A$3,"State","FL","type",10,"Type2","Two-Year")</f>
        <v>11581</v>
      </c>
      <c r="Z29" s="198">
        <f>GETPIVOTDATA("Sum of Old UG E-Learning",'Pivot Table for Fact Book'!$A$3,"State","FL","Type2","Two-Year")</f>
        <v>1043014</v>
      </c>
      <c r="AA29" s="198">
        <f>GETPIVOTDATA("Sum of New UG E-Learning",'Pivot Table for Fact Book'!$A$3,"State","FL","Type2","Two-Year")</f>
        <v>1321137</v>
      </c>
      <c r="AB29" s="195">
        <f>GETPIVOTDATA("Sum of Old UG E-Learning",'Pivot Table for Fact Book'!$A$3,"State","FL","type",12,"Type2","Technical")</f>
        <v>0</v>
      </c>
      <c r="AC29" s="197">
        <f>GETPIVOTDATA("Sum of New UG E-Learning",'Pivot Table for Fact Book'!$A$3,"State","FL","type",12,"Type2","Technical")</f>
        <v>0</v>
      </c>
      <c r="AD29" s="197">
        <f>GETPIVOTDATA("Sum of Old UG E-Learning",'Pivot Table for Fact Book'!$A$3,"State","FL","type",13,"Type2","Technical")</f>
        <v>0</v>
      </c>
      <c r="AE29" s="197">
        <f>GETPIVOTDATA("Sum of New UG E-Learning",'Pivot Table for Fact Book'!$A$3,"State","FL","type",13,"Type2","Technical")</f>
        <v>0</v>
      </c>
      <c r="AF29" s="197">
        <f>GETPIVOTDATA("Sum of Old UG E-Learning",'Pivot Table for Fact Book'!$A$3,"State","FL","type",14,"Type2","Technical")</f>
        <v>0</v>
      </c>
      <c r="AG29" s="197">
        <f>GETPIVOTDATA("Sum of New UG E-Learning",'Pivot Table for Fact Book'!$A$3,"State","FL","type",14,"Type2","Technical")</f>
        <v>0</v>
      </c>
      <c r="AH29" s="199">
        <f>GETPIVOTDATA("Sum of Old UG E-Learning",'Pivot Table for Fact Book'!$A$3,"State","FL","Type2","Technical")</f>
        <v>0</v>
      </c>
      <c r="AI29" s="199">
        <f>GETPIVOTDATA("Sum of New UG E-Learning",'Pivot Table for Fact Book'!$A$3,"State","FL","Type2","Technical")</f>
        <v>0</v>
      </c>
      <c r="AJ29" s="1"/>
    </row>
    <row r="30" spans="1:36">
      <c r="A30" s="175" t="s">
        <v>224</v>
      </c>
      <c r="B30" s="195">
        <f>GETPIVOTDATA("Sum of Old UG E-Learning",'Pivot Table for Fact Book'!$A$3,"State","GA","type",1,"Type2","Four-Year")</f>
        <v>9738</v>
      </c>
      <c r="C30" s="116">
        <f>GETPIVOTDATA("Sum of New UG E-Learning",'Pivot Table for Fact Book'!$A$3,"State","GA","type",1,"Type2","Four-Year")</f>
        <v>6576</v>
      </c>
      <c r="D30" s="195">
        <f>GETPIVOTDATA("Sum of Old UG E-Learning",'Pivot Table for Fact Book'!$A$3,"State","GA","type",2,"Type2","Four-Year")</f>
        <v>6433</v>
      </c>
      <c r="E30" s="116">
        <f>GETPIVOTDATA("Sum of New UG E-Learning",'Pivot Table for Fact Book'!$A$3,"State","GA","type",2,"Type2","Four-Year")</f>
        <v>5175</v>
      </c>
      <c r="F30" s="195">
        <f>GETPIVOTDATA("Sum of Old UG E-Learning",'Pivot Table for Fact Book'!$A$3,"State","GA","type",3,"Type2","Four-Year")</f>
        <v>31973</v>
      </c>
      <c r="G30" s="116">
        <f>GETPIVOTDATA("Sum of New UG E-Learning",'Pivot Table for Fact Book'!$A$3,"State","GA","type",3,"Type2","Four-Year")</f>
        <v>48106</v>
      </c>
      <c r="H30" s="195">
        <f>GETPIVOTDATA("Sum of Old UG E-Learning",'Pivot Table for Fact Book'!$A$3,"State","GA","type",4,"Type2","Four-Year")</f>
        <v>29531</v>
      </c>
      <c r="I30" s="116">
        <f>GETPIVOTDATA("Sum of New UG E-Learning",'Pivot Table for Fact Book'!$A$3,"State","GA","type",4,"Type2","Four-Year")</f>
        <v>20444</v>
      </c>
      <c r="J30" s="195">
        <f>GETPIVOTDATA("Sum of Old UG E-Learning",'Pivot Table for Fact Book'!$A$3,"State","GA","type",5,"Type2","Four-Year")</f>
        <v>24109</v>
      </c>
      <c r="K30" s="116">
        <f>GETPIVOTDATA("Sum of New UG E-Learning",'Pivot Table for Fact Book'!$A$3,"State","GA","type",5,"Type2","Four-Year")</f>
        <v>28913</v>
      </c>
      <c r="L30" s="195">
        <f>GETPIVOTDATA("Sum of Old UG E-Learning",'Pivot Table for Fact Book'!$A$3,"State","GA","type",6,"Type2","Four-Year")</f>
        <v>34700</v>
      </c>
      <c r="M30" s="116">
        <f>GETPIVOTDATA("Sum of New UG E-Learning",'Pivot Table for Fact Book'!$A$3,"State","GA","type",6,"Type2","Four-Year")</f>
        <v>22510</v>
      </c>
      <c r="N30" s="195">
        <f>GETPIVOTDATA("Sum of Old UG E-Learning",'Pivot Table for Fact Book'!$A$3,"State","GA","type",15,"Type2","Four-Year")</f>
        <v>0</v>
      </c>
      <c r="O30" s="116">
        <f>GETPIVOTDATA("Sum of New UG E-Learning",'Pivot Table for Fact Book'!$A$3,"State","GA","type",15,"Type2","Four-Year")</f>
        <v>0</v>
      </c>
      <c r="P30" s="196">
        <f>GETPIVOTDATA("Sum of Old UG E-Learning",'Pivot Table for Fact Book'!$A$3,"State","GA","Type2","Four-Year")</f>
        <v>136484</v>
      </c>
      <c r="Q30" s="196">
        <f>GETPIVOTDATA("Sum of New UG E-Learning",'Pivot Table for Fact Book'!$A$3,"State","GA","Type2","Four-Year")</f>
        <v>131724</v>
      </c>
      <c r="R30" s="195">
        <f>GETPIVOTDATA("Sum of Old UG E-Learning",'Pivot Table for Fact Book'!$A$3,"State","GA","type",7,"Type2","Two-Year")</f>
        <v>527</v>
      </c>
      <c r="S30" s="197">
        <f>GETPIVOTDATA("Sum of New UG E-Learning",'Pivot Table for Fact Book'!$A$3,"State","GA","type",7,"Type2","Two-Year")</f>
        <v>480</v>
      </c>
      <c r="T30" s="197">
        <f>GETPIVOTDATA("Sum of Old UG E-Learning",'Pivot Table for Fact Book'!$A$3,"State","GA","type",8,"Type2","Two-Year")</f>
        <v>59172</v>
      </c>
      <c r="U30" s="197">
        <f>GETPIVOTDATA("Sum of New UG E-Learning",'Pivot Table for Fact Book'!$A$3,"State","GA","type",8,"Type2","Two-Year")</f>
        <v>87231</v>
      </c>
      <c r="V30" s="197">
        <f>GETPIVOTDATA("Sum of Old UG E-Learning",'Pivot Table for Fact Book'!$A$3,"State","GA","type",9,"Type2","Two-Year")</f>
        <v>59781</v>
      </c>
      <c r="W30" s="197">
        <f>GETPIVOTDATA("Sum of New UG E-Learning",'Pivot Table for Fact Book'!$A$3,"State","GA","type",9,"Type2","Two-Year")</f>
        <v>66452</v>
      </c>
      <c r="X30" s="197">
        <f>GETPIVOTDATA("Sum of Old UG E-Learning",'Pivot Table for Fact Book'!$A$3,"State","GA","type",10,"Type2","Two-Year")</f>
        <v>6302</v>
      </c>
      <c r="Y30" s="197">
        <f>GETPIVOTDATA("Sum of New UG E-Learning",'Pivot Table for Fact Book'!$A$3,"State","GA","type",10,"Type2","Two-Year")</f>
        <v>10759</v>
      </c>
      <c r="Z30" s="198">
        <f>GETPIVOTDATA("Sum of Old UG E-Learning",'Pivot Table for Fact Book'!$A$3,"State","GA","Type2","Two-Year")</f>
        <v>125782</v>
      </c>
      <c r="AA30" s="198">
        <f>GETPIVOTDATA("Sum of New UG E-Learning",'Pivot Table for Fact Book'!$A$3,"State","GA","Type2","Two-Year")</f>
        <v>164922</v>
      </c>
      <c r="AB30" s="195">
        <f>GETPIVOTDATA("Sum of Old UG E-Learning",'Pivot Table for Fact Book'!$A$3,"State","GA","type",12,"Type2","Technical")</f>
        <v>647973</v>
      </c>
      <c r="AC30" s="197">
        <f>GETPIVOTDATA("Sum of New UG E-Learning",'Pivot Table for Fact Book'!$A$3,"State","GA","type",12,"Type2","Technical")</f>
        <v>809438</v>
      </c>
      <c r="AD30" s="197">
        <f>GETPIVOTDATA("Sum of Old UG E-Learning",'Pivot Table for Fact Book'!$A$3,"State","GA","type",13,"Type2","Technical")</f>
        <v>26401</v>
      </c>
      <c r="AE30" s="197">
        <f>GETPIVOTDATA("Sum of New UG E-Learning",'Pivot Table for Fact Book'!$A$3,"State","GA","type",13,"Type2","Technical")</f>
        <v>37994</v>
      </c>
      <c r="AF30" s="197">
        <f>GETPIVOTDATA("Sum of Old UG E-Learning",'Pivot Table for Fact Book'!$A$3,"State","GA","type",14,"Type2","Technical")</f>
        <v>0</v>
      </c>
      <c r="AG30" s="197">
        <f>GETPIVOTDATA("Sum of New UG E-Learning",'Pivot Table for Fact Book'!$A$3,"State","GA","type",14,"Type2","Technical")</f>
        <v>0</v>
      </c>
      <c r="AH30" s="199">
        <f>GETPIVOTDATA("Sum of Old UG E-Learning",'Pivot Table for Fact Book'!$A$3,"State","GA","Type2","Technical")</f>
        <v>674374</v>
      </c>
      <c r="AI30" s="199">
        <f>GETPIVOTDATA("Sum of New UG E-Learning",'Pivot Table for Fact Book'!$A$3,"State","GA","Type2","Technical")</f>
        <v>847432</v>
      </c>
      <c r="AJ30" s="1"/>
    </row>
    <row r="31" spans="1:36">
      <c r="A31" s="175" t="s">
        <v>225</v>
      </c>
      <c r="B31" s="195">
        <f>GETPIVOTDATA("Sum of Old UG E-Learning",'Pivot Table for Fact Book'!$A$3,"State","KY","type",1,"Type2","Four-Year")</f>
        <v>23839</v>
      </c>
      <c r="C31" s="116">
        <f>GETPIVOTDATA("Sum of New UG E-Learning",'Pivot Table for Fact Book'!$A$3,"State","KY","type",1,"Type2","Four-Year")</f>
        <v>31252</v>
      </c>
      <c r="D31" s="195">
        <f>GETPIVOTDATA("Sum of Old UG E-Learning",'Pivot Table for Fact Book'!$A$3,"State","KY","type",2,"Type2","Four-Year")</f>
        <v>0</v>
      </c>
      <c r="E31" s="116">
        <f>GETPIVOTDATA("Sum of New UG E-Learning",'Pivot Table for Fact Book'!$A$3,"State","KY","type",2,"Type2","Four-Year")</f>
        <v>0</v>
      </c>
      <c r="F31" s="195">
        <f>GETPIVOTDATA("Sum of Old UG E-Learning",'Pivot Table for Fact Book'!$A$3,"State","KY","type",3,"Type2","Four-Year")</f>
        <v>79717</v>
      </c>
      <c r="G31" s="116">
        <f>GETPIVOTDATA("Sum of New UG E-Learning",'Pivot Table for Fact Book'!$A$3,"State","KY","type",3,"Type2","Four-Year")</f>
        <v>98197</v>
      </c>
      <c r="H31" s="195">
        <f>GETPIVOTDATA("Sum of Old UG E-Learning",'Pivot Table for Fact Book'!$A$3,"State","KY","type",4,"Type2","Four-Year")</f>
        <v>32462</v>
      </c>
      <c r="I31" s="116">
        <f>GETPIVOTDATA("Sum of New UG E-Learning",'Pivot Table for Fact Book'!$A$3,"State","KY","type",4,"Type2","Four-Year")</f>
        <v>47526</v>
      </c>
      <c r="J31" s="195">
        <f>GETPIVOTDATA("Sum of Old UG E-Learning",'Pivot Table for Fact Book'!$A$3,"State","KY","type",5,"Type2","Four-Year")</f>
        <v>7382</v>
      </c>
      <c r="K31" s="116">
        <f>GETPIVOTDATA("Sum of New UG E-Learning",'Pivot Table for Fact Book'!$A$3,"State","KY","type",5,"Type2","Four-Year")</f>
        <v>6691</v>
      </c>
      <c r="L31" s="195">
        <f>GETPIVOTDATA("Sum of Old UG E-Learning",'Pivot Table for Fact Book'!$A$3,"State","KY","type",6,"Type2","Four-Year")</f>
        <v>0</v>
      </c>
      <c r="M31" s="116">
        <f>GETPIVOTDATA("Sum of New UG E-Learning",'Pivot Table for Fact Book'!$A$3,"State","KY","type",6,"Type2","Four-Year")</f>
        <v>0</v>
      </c>
      <c r="N31" s="195">
        <f>GETPIVOTDATA("Sum of Old UG E-Learning",'Pivot Table for Fact Book'!$A$3,"State","KY","type",15,"Type2","Four-Year")</f>
        <v>0</v>
      </c>
      <c r="O31" s="116">
        <f>GETPIVOTDATA("Sum of New UG E-Learning",'Pivot Table for Fact Book'!$A$3,"State","KY","type",15,"Type2","Four-Year")</f>
        <v>0</v>
      </c>
      <c r="P31" s="196">
        <f>GETPIVOTDATA("Sum of Old UG E-Learning",'Pivot Table for Fact Book'!$A$3,"State","KY","Type2","Four-Year")</f>
        <v>143400</v>
      </c>
      <c r="Q31" s="196">
        <f>GETPIVOTDATA("Sum of New UG E-Learning",'Pivot Table for Fact Book'!$A$3,"State","KY","Type2","Four-Year")</f>
        <v>183666</v>
      </c>
      <c r="R31" s="195">
        <f>GETPIVOTDATA("Sum of Old UG E-Learning",'Pivot Table for Fact Book'!$A$3,"State","KY","type",7,"Type2","Two-Year")</f>
        <v>0</v>
      </c>
      <c r="S31" s="197">
        <f>GETPIVOTDATA("Sum of New UG E-Learning",'Pivot Table for Fact Book'!$A$3,"State","KY","type",7,"Type2","Two-Year")</f>
        <v>0</v>
      </c>
      <c r="T31" s="197">
        <f>GETPIVOTDATA("Sum of Old UG E-Learning",'Pivot Table for Fact Book'!$A$3,"State","KY","type",8,"Type2","Two-Year")</f>
        <v>62862</v>
      </c>
      <c r="U31" s="197">
        <f>GETPIVOTDATA("Sum of New UG E-Learning",'Pivot Table for Fact Book'!$A$3,"State","KY","type",8,"Type2","Two-Year")</f>
        <v>85211</v>
      </c>
      <c r="V31" s="197">
        <f>GETPIVOTDATA("Sum of Old UG E-Learning",'Pivot Table for Fact Book'!$A$3,"State","KY","type",9,"Type2","Two-Year")</f>
        <v>120961</v>
      </c>
      <c r="W31" s="197">
        <f>GETPIVOTDATA("Sum of New UG E-Learning",'Pivot Table for Fact Book'!$A$3,"State","KY","type",9,"Type2","Two-Year")</f>
        <v>153502</v>
      </c>
      <c r="X31" s="197">
        <f>GETPIVOTDATA("Sum of Old UG E-Learning",'Pivot Table for Fact Book'!$A$3,"State","KY","type",10,"Type2","Two-Year")</f>
        <v>27852</v>
      </c>
      <c r="Y31" s="197">
        <f>GETPIVOTDATA("Sum of New UG E-Learning",'Pivot Table for Fact Book'!$A$3,"State","KY","type",10,"Type2","Two-Year")</f>
        <v>35443</v>
      </c>
      <c r="Z31" s="198">
        <f>GETPIVOTDATA("Sum of Old UG E-Learning",'Pivot Table for Fact Book'!$A$3,"State","KY","Type2","Two-Year")</f>
        <v>211675</v>
      </c>
      <c r="AA31" s="198">
        <f>GETPIVOTDATA("Sum of New UG E-Learning",'Pivot Table for Fact Book'!$A$3,"State","KY","Type2","Two-Year")</f>
        <v>274156</v>
      </c>
      <c r="AB31" s="195">
        <f>GETPIVOTDATA("Sum of Old UG E-Learning",'Pivot Table for Fact Book'!$A$3,"State","KY","type",12,"Type2","Technical")</f>
        <v>2507</v>
      </c>
      <c r="AC31" s="197">
        <f>GETPIVOTDATA("Sum of New UG E-Learning",'Pivot Table for Fact Book'!$A$3,"State","KY","type",12,"Type2","Technical")</f>
        <v>2934</v>
      </c>
      <c r="AD31" s="197">
        <f>GETPIVOTDATA("Sum of Old UG E-Learning",'Pivot Table for Fact Book'!$A$3,"State","KY","type",13,"Type2","Technical")</f>
        <v>0</v>
      </c>
      <c r="AE31" s="197">
        <f>GETPIVOTDATA("Sum of New UG E-Learning",'Pivot Table for Fact Book'!$A$3,"State","KY","type",13,"Type2","Technical")</f>
        <v>0</v>
      </c>
      <c r="AF31" s="197">
        <f>GETPIVOTDATA("Sum of Old UG E-Learning",'Pivot Table for Fact Book'!$A$3,"State","KY","type",14,"Type2","Technical")</f>
        <v>0</v>
      </c>
      <c r="AG31" s="197">
        <f>GETPIVOTDATA("Sum of New UG E-Learning",'Pivot Table for Fact Book'!$A$3,"State","KY","type",14,"Type2","Technical")</f>
        <v>0</v>
      </c>
      <c r="AH31" s="199">
        <f>GETPIVOTDATA("Sum of Old UG E-Learning",'Pivot Table for Fact Book'!$A$3,"State","KY","Type2","Technical")</f>
        <v>2507</v>
      </c>
      <c r="AI31" s="199">
        <f>GETPIVOTDATA("Sum of New UG E-Learning",'Pivot Table for Fact Book'!$A$3,"State","KY","Type2","Technical")</f>
        <v>2934</v>
      </c>
      <c r="AJ31" s="1"/>
    </row>
    <row r="32" spans="1:36">
      <c r="A32" s="175" t="s">
        <v>226</v>
      </c>
      <c r="B32" s="195">
        <f>GETPIVOTDATA("Sum of Old UG E-Learning",'Pivot Table for Fact Book'!$A$3,"State","LA","type",1,"Type2","Four-Year")</f>
        <v>420</v>
      </c>
      <c r="C32" s="116">
        <f>GETPIVOTDATA("Sum of New UG E-Learning",'Pivot Table for Fact Book'!$A$3,"State","LA","type",1,"Type2","Four-Year")</f>
        <v>0</v>
      </c>
      <c r="D32" s="195">
        <f>GETPIVOTDATA("Sum of Old UG E-Learning",'Pivot Table for Fact Book'!$A$3,"State","LA","type",2,"Type2","Four-Year")</f>
        <v>3334</v>
      </c>
      <c r="E32" s="116">
        <f>GETPIVOTDATA("Sum of New UG E-Learning",'Pivot Table for Fact Book'!$A$3,"State","LA","type",2,"Type2","Four-Year")</f>
        <v>12713</v>
      </c>
      <c r="F32" s="195">
        <f>GETPIVOTDATA("Sum of Old UG E-Learning",'Pivot Table for Fact Book'!$A$3,"State","LA","type",3,"Type2","Four-Year")</f>
        <v>29230</v>
      </c>
      <c r="G32" s="116">
        <f>GETPIVOTDATA("Sum of New UG E-Learning",'Pivot Table for Fact Book'!$A$3,"State","LA","type",3,"Type2","Four-Year")</f>
        <v>34381</v>
      </c>
      <c r="H32" s="195">
        <f>GETPIVOTDATA("Sum of Old UG E-Learning",'Pivot Table for Fact Book'!$A$3,"State","LA","type",4,"Type2","Four-Year")</f>
        <v>60797</v>
      </c>
      <c r="I32" s="116">
        <f>GETPIVOTDATA("Sum of New UG E-Learning",'Pivot Table for Fact Book'!$A$3,"State","LA","type",4,"Type2","Four-Year")</f>
        <v>79293</v>
      </c>
      <c r="J32" s="195">
        <f>GETPIVOTDATA("Sum of Old UG E-Learning",'Pivot Table for Fact Book'!$A$3,"State","LA","type",5,"Type2","Four-Year")</f>
        <v>0</v>
      </c>
      <c r="K32" s="116">
        <f>GETPIVOTDATA("Sum of New UG E-Learning",'Pivot Table for Fact Book'!$A$3,"State","LA","type",5,"Type2","Four-Year")</f>
        <v>0</v>
      </c>
      <c r="L32" s="195">
        <f>GETPIVOTDATA("Sum of Old UG E-Learning",'Pivot Table for Fact Book'!$A$3,"State","LA","type",6,"Type2","Four-Year")</f>
        <v>0</v>
      </c>
      <c r="M32" s="116">
        <f>GETPIVOTDATA("Sum of New UG E-Learning",'Pivot Table for Fact Book'!$A$3,"State","LA","type",6,"Type2","Four-Year")</f>
        <v>0</v>
      </c>
      <c r="N32" s="195">
        <f>GETPIVOTDATA("Sum of Old UG E-Learning",'Pivot Table for Fact Book'!$A$3,"State","LA","type",15,"Type2","Four-Year")</f>
        <v>0</v>
      </c>
      <c r="O32" s="116">
        <f>GETPIVOTDATA("Sum of New UG E-Learning",'Pivot Table for Fact Book'!$A$3,"State","LA","type",15,"Type2","Four-Year")</f>
        <v>0</v>
      </c>
      <c r="P32" s="196">
        <f>GETPIVOTDATA("Sum of Old UG E-Learning",'Pivot Table for Fact Book'!$A$3,"State","LA","Type2","Four-Year")</f>
        <v>93781</v>
      </c>
      <c r="Q32" s="196">
        <f>GETPIVOTDATA("Sum of New UG E-Learning",'Pivot Table for Fact Book'!$A$3,"State","LA","Type2","Four-Year")</f>
        <v>126387</v>
      </c>
      <c r="R32" s="195">
        <f>GETPIVOTDATA("Sum of Old UG E-Learning",'Pivot Table for Fact Book'!$A$3,"State","LA","type",7,"Type2","Two-Year")</f>
        <v>2481</v>
      </c>
      <c r="S32" s="197">
        <f>GETPIVOTDATA("Sum of New UG E-Learning",'Pivot Table for Fact Book'!$A$3,"State","LA","type",7,"Type2","Two-Year")</f>
        <v>878</v>
      </c>
      <c r="T32" s="197">
        <f>GETPIVOTDATA("Sum of Old UG E-Learning",'Pivot Table for Fact Book'!$A$3,"State","LA","type",8,"Type2","Two-Year")</f>
        <v>29849</v>
      </c>
      <c r="U32" s="197">
        <f>GETPIVOTDATA("Sum of New UG E-Learning",'Pivot Table for Fact Book'!$A$3,"State","LA","type",8,"Type2","Two-Year")</f>
        <v>17868</v>
      </c>
      <c r="V32" s="197">
        <f>GETPIVOTDATA("Sum of Old UG E-Learning",'Pivot Table for Fact Book'!$A$3,"State","LA","type",9,"Type2","Two-Year")</f>
        <v>24521</v>
      </c>
      <c r="W32" s="197">
        <f>GETPIVOTDATA("Sum of New UG E-Learning",'Pivot Table for Fact Book'!$A$3,"State","LA","type",9,"Type2","Two-Year")</f>
        <v>26012</v>
      </c>
      <c r="X32" s="197">
        <f>GETPIVOTDATA("Sum of Old UG E-Learning",'Pivot Table for Fact Book'!$A$3,"State","LA","type",10,"Type2","Two-Year")</f>
        <v>2262</v>
      </c>
      <c r="Y32" s="197">
        <f>GETPIVOTDATA("Sum of New UG E-Learning",'Pivot Table for Fact Book'!$A$3,"State","LA","type",10,"Type2","Two-Year")</f>
        <v>3606</v>
      </c>
      <c r="Z32" s="198">
        <f>GETPIVOTDATA("Sum of Old UG E-Learning",'Pivot Table for Fact Book'!$A$3,"State","LA","Type2","Two-Year")</f>
        <v>59113</v>
      </c>
      <c r="AA32" s="198">
        <f>GETPIVOTDATA("Sum of New UG E-Learning",'Pivot Table for Fact Book'!$A$3,"State","LA","Type2","Two-Year")</f>
        <v>48364</v>
      </c>
      <c r="AB32" s="195">
        <f>GETPIVOTDATA("Sum of Old UG E-Learning",'Pivot Table for Fact Book'!$A$3,"State","LA","type",12,"Type2","Technical")</f>
        <v>0</v>
      </c>
      <c r="AC32" s="197">
        <f>GETPIVOTDATA("Sum of New UG E-Learning",'Pivot Table for Fact Book'!$A$3,"State","LA","type",12,"Type2","Technical")</f>
        <v>0</v>
      </c>
      <c r="AD32" s="197">
        <f>GETPIVOTDATA("Sum of Old UG E-Learning",'Pivot Table for Fact Book'!$A$3,"State","LA","type",13,"Type2","Technical")</f>
        <v>0</v>
      </c>
      <c r="AE32" s="197">
        <f>GETPIVOTDATA("Sum of New UG E-Learning",'Pivot Table for Fact Book'!$A$3,"State","LA","type",13,"Type2","Technical")</f>
        <v>0</v>
      </c>
      <c r="AF32" s="197">
        <f>GETPIVOTDATA("Sum of Old UG E-Learning",'Pivot Table for Fact Book'!$A$3,"State","LA","type",14,"Type2","Technical")</f>
        <v>0</v>
      </c>
      <c r="AG32" s="197">
        <f>GETPIVOTDATA("Sum of New UG E-Learning",'Pivot Table for Fact Book'!$A$3,"State","LA","type",14,"Type2","Technical")</f>
        <v>0</v>
      </c>
      <c r="AH32" s="199">
        <f>GETPIVOTDATA("Sum of Old UG E-Learning",'Pivot Table for Fact Book'!$A$3,"State","LA","Type2","Technical")</f>
        <v>0</v>
      </c>
      <c r="AI32" s="199">
        <f>GETPIVOTDATA("Sum of New UG E-Learning",'Pivot Table for Fact Book'!$A$3,"State","LA","Type2","Technical")</f>
        <v>0</v>
      </c>
      <c r="AJ32" s="1"/>
    </row>
    <row r="33" spans="1:36">
      <c r="A33" s="175" t="s">
        <v>227</v>
      </c>
      <c r="B33" s="195">
        <f>GETPIVOTDATA("Sum of Old UG E-Learning",'Pivot Table for Fact Book'!$A$3,"State","MD","type",1,"Type2","Four-Year")</f>
        <v>3436</v>
      </c>
      <c r="C33" s="116">
        <f>GETPIVOTDATA("Sum of New UG E-Learning",'Pivot Table for Fact Book'!$A$3,"State","MD","type",1,"Type2","Four-Year")</f>
        <v>4426</v>
      </c>
      <c r="D33" s="195">
        <f>GETPIVOTDATA("Sum of Old UG E-Learning",'Pivot Table for Fact Book'!$A$3,"State","MD","type",2,"Type2","Four-Year")</f>
        <v>756</v>
      </c>
      <c r="E33" s="116">
        <f>GETPIVOTDATA("Sum of New UG E-Learning",'Pivot Table for Fact Book'!$A$3,"State","MD","type",2,"Type2","Four-Year")</f>
        <v>938</v>
      </c>
      <c r="F33" s="195">
        <f>GETPIVOTDATA("Sum of Old UG E-Learning",'Pivot Table for Fact Book'!$A$3,"State","MD","type",3,"Type2","Four-Year")</f>
        <v>11508</v>
      </c>
      <c r="G33" s="116">
        <f>GETPIVOTDATA("Sum of New UG E-Learning",'Pivot Table for Fact Book'!$A$3,"State","MD","type",3,"Type2","Four-Year")</f>
        <v>12519</v>
      </c>
      <c r="H33" s="195">
        <f>GETPIVOTDATA("Sum of Old UG E-Learning",'Pivot Table for Fact Book'!$A$3,"State","MD","type",4,"Type2","Four-Year")</f>
        <v>35180</v>
      </c>
      <c r="I33" s="116">
        <f>GETPIVOTDATA("Sum of New UG E-Learning",'Pivot Table for Fact Book'!$A$3,"State","MD","type",4,"Type2","Four-Year")</f>
        <v>41190</v>
      </c>
      <c r="J33" s="195">
        <f>GETPIVOTDATA("Sum of Old UG E-Learning",'Pivot Table for Fact Book'!$A$3,"State","MD","type",5,"Type2","Four-Year")</f>
        <v>0</v>
      </c>
      <c r="K33" s="116">
        <f>GETPIVOTDATA("Sum of New UG E-Learning",'Pivot Table for Fact Book'!$A$3,"State","MD","type",5,"Type2","Four-Year")</f>
        <v>0</v>
      </c>
      <c r="L33" s="195">
        <f>GETPIVOTDATA("Sum of Old UG E-Learning",'Pivot Table for Fact Book'!$A$3,"State","MD","type",6,"Type2","Four-Year")</f>
        <v>0</v>
      </c>
      <c r="M33" s="116">
        <f>GETPIVOTDATA("Sum of New UG E-Learning",'Pivot Table for Fact Book'!$A$3,"State","MD","type",6,"Type2","Four-Year")</f>
        <v>0</v>
      </c>
      <c r="N33" s="195">
        <f>GETPIVOTDATA("Sum of Old UG E-Learning",'Pivot Table for Fact Book'!$A$3,"State","MD","type",15,"Type2","Four-Year")</f>
        <v>293209</v>
      </c>
      <c r="O33" s="116">
        <f>GETPIVOTDATA("Sum of New UG E-Learning",'Pivot Table for Fact Book'!$A$3,"State","MD","type",15,"Type2","Four-Year")</f>
        <v>293250</v>
      </c>
      <c r="P33" s="196">
        <f>GETPIVOTDATA("Sum of Old UG E-Learning",'Pivot Table for Fact Book'!$A$3,"State","MD","Type2","Four-Year")</f>
        <v>344089</v>
      </c>
      <c r="Q33" s="196">
        <f>GETPIVOTDATA("Sum of New UG E-Learning",'Pivot Table for Fact Book'!$A$3,"State","MD","Type2","Four-Year")</f>
        <v>352323</v>
      </c>
      <c r="R33" s="195">
        <f>GETPIVOTDATA("Sum of Old UG E-Learning",'Pivot Table for Fact Book'!$A$3,"State","MD","type",7,"Type2","Two-Year")</f>
        <v>0</v>
      </c>
      <c r="S33" s="197">
        <f>GETPIVOTDATA("Sum of New UG E-Learning",'Pivot Table for Fact Book'!$A$3,"State","MD","type",7,"Type2","Two-Year")</f>
        <v>0</v>
      </c>
      <c r="T33" s="197">
        <f>GETPIVOTDATA("Sum of Old UG E-Learning",'Pivot Table for Fact Book'!$A$3,"State","MD","type",8,"Type2","Two-Year")</f>
        <v>123425</v>
      </c>
      <c r="U33" s="197">
        <f>GETPIVOTDATA("Sum of New UG E-Learning",'Pivot Table for Fact Book'!$A$3,"State","MD","type",8,"Type2","Two-Year")</f>
        <v>140958.53</v>
      </c>
      <c r="V33" s="197">
        <f>GETPIVOTDATA("Sum of Old UG E-Learning",'Pivot Table for Fact Book'!$A$3,"State","MD","type",9,"Type2","Two-Year")</f>
        <v>89472</v>
      </c>
      <c r="W33" s="197">
        <f>GETPIVOTDATA("Sum of New UG E-Learning",'Pivot Table for Fact Book'!$A$3,"State","MD","type",9,"Type2","Two-Year")</f>
        <v>116792</v>
      </c>
      <c r="X33" s="197">
        <f>GETPIVOTDATA("Sum of Old UG E-Learning",'Pivot Table for Fact Book'!$A$3,"State","MD","type",10,"Type2","Two-Year")</f>
        <v>27131</v>
      </c>
      <c r="Y33" s="197">
        <f>GETPIVOTDATA("Sum of New UG E-Learning",'Pivot Table for Fact Book'!$A$3,"State","MD","type",10,"Type2","Two-Year")</f>
        <v>26099</v>
      </c>
      <c r="Z33" s="198">
        <f>GETPIVOTDATA("Sum of Old UG E-Learning",'Pivot Table for Fact Book'!$A$3,"State","MD","Type2","Two-Year")</f>
        <v>240028</v>
      </c>
      <c r="AA33" s="198">
        <f>GETPIVOTDATA("Sum of New UG E-Learning",'Pivot Table for Fact Book'!$A$3,"State","MD","Type2","Two-Year")</f>
        <v>283849.53000000003</v>
      </c>
      <c r="AB33" s="195">
        <f>GETPIVOTDATA("Sum of Old UG E-Learning",'Pivot Table for Fact Book'!$A$3,"State","MD","type",12,"Type2","Technical")</f>
        <v>0</v>
      </c>
      <c r="AC33" s="197">
        <f>GETPIVOTDATA("Sum of New UG E-Learning",'Pivot Table for Fact Book'!$A$3,"State","MD","type",12,"Type2","Technical")</f>
        <v>0</v>
      </c>
      <c r="AD33" s="197">
        <f>GETPIVOTDATA("Sum of Old UG E-Learning",'Pivot Table for Fact Book'!$A$3,"State","MD","type",13,"Type2","Technical")</f>
        <v>0</v>
      </c>
      <c r="AE33" s="197">
        <f>GETPIVOTDATA("Sum of New UG E-Learning",'Pivot Table for Fact Book'!$A$3,"State","MD","type",13,"Type2","Technical")</f>
        <v>0</v>
      </c>
      <c r="AF33" s="197">
        <f>GETPIVOTDATA("Sum of Old UG E-Learning",'Pivot Table for Fact Book'!$A$3,"State","MD","type",14,"Type2","Technical")</f>
        <v>0</v>
      </c>
      <c r="AG33" s="197">
        <f>GETPIVOTDATA("Sum of New UG E-Learning",'Pivot Table for Fact Book'!$A$3,"State","MD","type",14,"Type2","Technical")</f>
        <v>0</v>
      </c>
      <c r="AH33" s="199">
        <f>GETPIVOTDATA("Sum of Old UG E-Learning",'Pivot Table for Fact Book'!$A$3,"State","MD","Type2","Technical")</f>
        <v>0</v>
      </c>
      <c r="AI33" s="199">
        <f>GETPIVOTDATA("Sum of New UG E-Learning",'Pivot Table for Fact Book'!$A$3,"State","MD","Type2","Technical")</f>
        <v>0</v>
      </c>
      <c r="AJ33" s="1"/>
    </row>
    <row r="34" spans="1:36">
      <c r="A34" s="175" t="s">
        <v>204</v>
      </c>
      <c r="B34" s="195">
        <f>GETPIVOTDATA("Sum of Old UG E-Learning",'Pivot Table for Fact Book'!$A$3,"State","MS","type",1,"Type2","Four-Year")</f>
        <v>39413</v>
      </c>
      <c r="C34" s="116">
        <f>GETPIVOTDATA("Sum of New UG E-Learning",'Pivot Table for Fact Book'!$A$3,"State","MS","type",1,"Type2","Four-Year")</f>
        <v>42263</v>
      </c>
      <c r="D34" s="195">
        <f>GETPIVOTDATA("Sum of Old UG E-Learning",'Pivot Table for Fact Book'!$A$3,"State","MS","type",2,"Type2","Four-Year")</f>
        <v>26477</v>
      </c>
      <c r="E34" s="116">
        <f>GETPIVOTDATA("Sum of New UG E-Learning",'Pivot Table for Fact Book'!$A$3,"State","MS","type",2,"Type2","Four-Year")</f>
        <v>20636</v>
      </c>
      <c r="F34" s="195">
        <f>GETPIVOTDATA("Sum of Old UG E-Learning",'Pivot Table for Fact Book'!$A$3,"State","MS","type",3,"Type2","Four-Year")</f>
        <v>0</v>
      </c>
      <c r="G34" s="116">
        <f>GETPIVOTDATA("Sum of New UG E-Learning",'Pivot Table for Fact Book'!$A$3,"State","MS","type",3,"Type2","Four-Year")</f>
        <v>0</v>
      </c>
      <c r="H34" s="195">
        <f>GETPIVOTDATA("Sum of Old UG E-Learning",'Pivot Table for Fact Book'!$A$3,"State","MS","type",4,"Type2","Four-Year")</f>
        <v>8308</v>
      </c>
      <c r="I34" s="116">
        <f>GETPIVOTDATA("Sum of New UG E-Learning",'Pivot Table for Fact Book'!$A$3,"State","MS","type",4,"Type2","Four-Year")</f>
        <v>9779</v>
      </c>
      <c r="J34" s="195">
        <f>GETPIVOTDATA("Sum of Old UG E-Learning",'Pivot Table for Fact Book'!$A$3,"State","MS","type",5,"Type2","Four-Year")</f>
        <v>5018</v>
      </c>
      <c r="K34" s="116">
        <f>GETPIVOTDATA("Sum of New UG E-Learning",'Pivot Table for Fact Book'!$A$3,"State","MS","type",5,"Type2","Four-Year")</f>
        <v>10937</v>
      </c>
      <c r="L34" s="195">
        <f>GETPIVOTDATA("Sum of Old UG E-Learning",'Pivot Table for Fact Book'!$A$3,"State","MS","type",6,"Type2","Four-Year")</f>
        <v>0</v>
      </c>
      <c r="M34" s="116">
        <f>GETPIVOTDATA("Sum of New UG E-Learning",'Pivot Table for Fact Book'!$A$3,"State","MS","type",6,"Type2","Four-Year")</f>
        <v>0</v>
      </c>
      <c r="N34" s="195">
        <f>GETPIVOTDATA("Sum of Old UG E-Learning",'Pivot Table for Fact Book'!$A$3,"State","MS","type",15,"Type2","Four-Year")</f>
        <v>0</v>
      </c>
      <c r="O34" s="116">
        <f>GETPIVOTDATA("Sum of New UG E-Learning",'Pivot Table for Fact Book'!$A$3,"State","MS","type",15,"Type2","Four-Year")</f>
        <v>0</v>
      </c>
      <c r="P34" s="196">
        <f>GETPIVOTDATA("Sum of Old UG E-Learning",'Pivot Table for Fact Book'!$A$3,"State","MS","Type2","Four-Year")</f>
        <v>79216</v>
      </c>
      <c r="Q34" s="196">
        <f>GETPIVOTDATA("Sum of New UG E-Learning",'Pivot Table for Fact Book'!$A$3,"State","MS","Type2","Four-Year")</f>
        <v>83615</v>
      </c>
      <c r="R34" s="195">
        <f>GETPIVOTDATA("Sum of Old UG E-Learning",'Pivot Table for Fact Book'!$A$3,"State","MS","type",7,"Type2","Two-Year")</f>
        <v>0</v>
      </c>
      <c r="S34" s="197">
        <f>GETPIVOTDATA("Sum of New UG E-Learning",'Pivot Table for Fact Book'!$A$3,"State","MS","type",7,"Type2","Two-Year")</f>
        <v>0</v>
      </c>
      <c r="T34" s="197">
        <f>GETPIVOTDATA("Sum of Old UG E-Learning",'Pivot Table for Fact Book'!$A$3,"State","MS","type",8,"Type2","Two-Year")</f>
        <v>66159</v>
      </c>
      <c r="U34" s="197">
        <f>GETPIVOTDATA("Sum of New UG E-Learning",'Pivot Table for Fact Book'!$A$3,"State","MS","type",8,"Type2","Two-Year")</f>
        <v>83640</v>
      </c>
      <c r="V34" s="197">
        <f>GETPIVOTDATA("Sum of Old UG E-Learning",'Pivot Table for Fact Book'!$A$3,"State","MS","type",9,"Type2","Two-Year")</f>
        <v>133809</v>
      </c>
      <c r="W34" s="197">
        <f>GETPIVOTDATA("Sum of New UG E-Learning",'Pivot Table for Fact Book'!$A$3,"State","MS","type",9,"Type2","Two-Year")</f>
        <v>158885</v>
      </c>
      <c r="X34" s="197">
        <f>GETPIVOTDATA("Sum of Old UG E-Learning",'Pivot Table for Fact Book'!$A$3,"State","MS","type",10,"Type2","Two-Year")</f>
        <v>12673</v>
      </c>
      <c r="Y34" s="197">
        <f>GETPIVOTDATA("Sum of New UG E-Learning",'Pivot Table for Fact Book'!$A$3,"State","MS","type",10,"Type2","Two-Year")</f>
        <v>7797</v>
      </c>
      <c r="Z34" s="198">
        <f>GETPIVOTDATA("Sum of Old UG E-Learning",'Pivot Table for Fact Book'!$A$3,"State","MS","Type2","Two-Year")</f>
        <v>212641</v>
      </c>
      <c r="AA34" s="198">
        <f>GETPIVOTDATA("Sum of New UG E-Learning",'Pivot Table for Fact Book'!$A$3,"State","MS","Type2","Two-Year")</f>
        <v>250322</v>
      </c>
      <c r="AB34" s="195">
        <f>GETPIVOTDATA("Sum of Old UG E-Learning",'Pivot Table for Fact Book'!$A$3,"State","MS","type",12,"Type2","Technical")</f>
        <v>0</v>
      </c>
      <c r="AC34" s="197">
        <f>GETPIVOTDATA("Sum of New UG E-Learning",'Pivot Table for Fact Book'!$A$3,"State","MS","type",12,"Type2","Technical")</f>
        <v>0</v>
      </c>
      <c r="AD34" s="197">
        <f>GETPIVOTDATA("Sum of Old UG E-Learning",'Pivot Table for Fact Book'!$A$3,"State","MS","type",13,"Type2","Technical")</f>
        <v>0</v>
      </c>
      <c r="AE34" s="197">
        <f>GETPIVOTDATA("Sum of New UG E-Learning",'Pivot Table for Fact Book'!$A$3,"State","MS","type",13,"Type2","Technical")</f>
        <v>0</v>
      </c>
      <c r="AF34" s="197">
        <f>GETPIVOTDATA("Sum of Old UG E-Learning",'Pivot Table for Fact Book'!$A$3,"State","MS","type",14,"Type2","Technical")</f>
        <v>0</v>
      </c>
      <c r="AG34" s="197">
        <f>GETPIVOTDATA("Sum of New UG E-Learning",'Pivot Table for Fact Book'!$A$3,"State","MS","type",14,"Type2","Technical")</f>
        <v>0</v>
      </c>
      <c r="AH34" s="199">
        <f>GETPIVOTDATA("Sum of Old UG E-Learning",'Pivot Table for Fact Book'!$A$3,"State","MS","Type2","Technical")</f>
        <v>0</v>
      </c>
      <c r="AI34" s="199">
        <f>GETPIVOTDATA("Sum of New UG E-Learning",'Pivot Table for Fact Book'!$A$3,"State","MS","Type2","Technical")</f>
        <v>0</v>
      </c>
      <c r="AJ34" s="1"/>
    </row>
    <row r="35" spans="1:36">
      <c r="A35" s="175" t="s">
        <v>212</v>
      </c>
      <c r="B35" s="195">
        <f>GETPIVOTDATA("Sum of Old UG E-Learning",'Pivot Table for Fact Book'!$A$3,"State","NC","type",1,"Type2","Four-Year")</f>
        <v>36828</v>
      </c>
      <c r="C35" s="116">
        <f>GETPIVOTDATA("Sum of New UG E-Learning",'Pivot Table for Fact Book'!$A$3,"State","NC","type",1,"Type2","Four-Year")</f>
        <v>57481</v>
      </c>
      <c r="D35" s="195">
        <f>GETPIVOTDATA("Sum of Old UG E-Learning",'Pivot Table for Fact Book'!$A$3,"State","NC","type",2,"Type2","Four-Year")</f>
        <v>32827</v>
      </c>
      <c r="E35" s="116">
        <f>GETPIVOTDATA("Sum of New UG E-Learning",'Pivot Table for Fact Book'!$A$3,"State","NC","type",2,"Type2","Four-Year")</f>
        <v>44851</v>
      </c>
      <c r="F35" s="195">
        <f>GETPIVOTDATA("Sum of Old UG E-Learning",'Pivot Table for Fact Book'!$A$3,"State","NC","type",3,"Type2","Four-Year")</f>
        <v>120615</v>
      </c>
      <c r="G35" s="116">
        <f>GETPIVOTDATA("Sum of New UG E-Learning",'Pivot Table for Fact Book'!$A$3,"State","NC","type",3,"Type2","Four-Year")</f>
        <v>133051</v>
      </c>
      <c r="H35" s="195">
        <f>GETPIVOTDATA("Sum of Old UG E-Learning",'Pivot Table for Fact Book'!$A$3,"State","NC","type",4,"Type2","Four-Year")</f>
        <v>22218</v>
      </c>
      <c r="I35" s="116">
        <f>GETPIVOTDATA("Sum of New UG E-Learning",'Pivot Table for Fact Book'!$A$3,"State","NC","type",4,"Type2","Four-Year")</f>
        <v>16706</v>
      </c>
      <c r="J35" s="195">
        <f>GETPIVOTDATA("Sum of Old UG E-Learning",'Pivot Table for Fact Book'!$A$3,"State","NC","type",5,"Type2","Four-Year")</f>
        <v>23371</v>
      </c>
      <c r="K35" s="116">
        <f>GETPIVOTDATA("Sum of New UG E-Learning",'Pivot Table for Fact Book'!$A$3,"State","NC","type",5,"Type2","Four-Year")</f>
        <v>35241</v>
      </c>
      <c r="L35" s="195">
        <f>GETPIVOTDATA("Sum of Old UG E-Learning",'Pivot Table for Fact Book'!$A$3,"State","NC","type",6,"Type2","Four-Year")</f>
        <v>5633</v>
      </c>
      <c r="M35" s="116">
        <f>GETPIVOTDATA("Sum of New UG E-Learning",'Pivot Table for Fact Book'!$A$3,"State","NC","type",6,"Type2","Four-Year")</f>
        <v>3310</v>
      </c>
      <c r="N35" s="195">
        <f>GETPIVOTDATA("Sum of Old UG E-Learning",'Pivot Table for Fact Book'!$A$3,"State","NC","type",15,"Type2","Four-Year")</f>
        <v>0</v>
      </c>
      <c r="O35" s="116">
        <f>GETPIVOTDATA("Sum of New UG E-Learning",'Pivot Table for Fact Book'!$A$3,"State","NC","type",15,"Type2","Four-Year")</f>
        <v>0</v>
      </c>
      <c r="P35" s="196">
        <f>GETPIVOTDATA("Sum of Old UG E-Learning",'Pivot Table for Fact Book'!$A$3,"State","NC","Type2","Four-Year")</f>
        <v>241492</v>
      </c>
      <c r="Q35" s="196">
        <f>GETPIVOTDATA("Sum of New UG E-Learning",'Pivot Table for Fact Book'!$A$3,"State","NC","Type2","Four-Year")</f>
        <v>290640</v>
      </c>
      <c r="R35" s="195">
        <f>GETPIVOTDATA("Sum of Old UG E-Learning",'Pivot Table for Fact Book'!$A$3,"State","NC","type",7,"Type2","Two-Year")</f>
        <v>0</v>
      </c>
      <c r="S35" s="197">
        <f>GETPIVOTDATA("Sum of New UG E-Learning",'Pivot Table for Fact Book'!$A$3,"State","NC","type",7,"Type2","Two-Year")</f>
        <v>0</v>
      </c>
      <c r="T35" s="197">
        <f>GETPIVOTDATA("Sum of Old UG E-Learning",'Pivot Table for Fact Book'!$A$3,"State","NC","type",8,"Type2","Two-Year")</f>
        <v>421463.1</v>
      </c>
      <c r="U35" s="197">
        <f>GETPIVOTDATA("Sum of New UG E-Learning",'Pivot Table for Fact Book'!$A$3,"State","NC","type",8,"Type2","Two-Year")</f>
        <v>535012.19999999995</v>
      </c>
      <c r="V35" s="197">
        <f>GETPIVOTDATA("Sum of Old UG E-Learning",'Pivot Table for Fact Book'!$A$3,"State","NC","type",9,"Type2","Two-Year")</f>
        <v>471519.49999999988</v>
      </c>
      <c r="W35" s="197">
        <f>GETPIVOTDATA("Sum of New UG E-Learning",'Pivot Table for Fact Book'!$A$3,"State","NC","type",9,"Type2","Two-Year")</f>
        <v>617967.6</v>
      </c>
      <c r="X35" s="197">
        <f>GETPIVOTDATA("Sum of Old UG E-Learning",'Pivot Table for Fact Book'!$A$3,"State","NC","type",10,"Type2","Two-Year")</f>
        <v>85237.799999999988</v>
      </c>
      <c r="Y35" s="197">
        <f>GETPIVOTDATA("Sum of New UG E-Learning",'Pivot Table for Fact Book'!$A$3,"State","NC","type",10,"Type2","Two-Year")</f>
        <v>95168.700000000012</v>
      </c>
      <c r="Z35" s="198">
        <f>GETPIVOTDATA("Sum of Old UG E-Learning",'Pivot Table for Fact Book'!$A$3,"State","NC","Type2","Two-Year")</f>
        <v>978220.40000000014</v>
      </c>
      <c r="AA35" s="198">
        <f>GETPIVOTDATA("Sum of New UG E-Learning",'Pivot Table for Fact Book'!$A$3,"State","NC","Type2","Two-Year")</f>
        <v>1248148.5</v>
      </c>
      <c r="AB35" s="195">
        <f>GETPIVOTDATA("Sum of Old UG E-Learning",'Pivot Table for Fact Book'!$A$3,"State","NC","type",12,"Type2","Technical")</f>
        <v>0</v>
      </c>
      <c r="AC35" s="197">
        <f>GETPIVOTDATA("Sum of New UG E-Learning",'Pivot Table for Fact Book'!$A$3,"State","NC","type",12,"Type2","Technical")</f>
        <v>0</v>
      </c>
      <c r="AD35" s="197">
        <f>GETPIVOTDATA("Sum of Old UG E-Learning",'Pivot Table for Fact Book'!$A$3,"State","NC","type",13,"Type2","Technical")</f>
        <v>0</v>
      </c>
      <c r="AE35" s="197">
        <f>GETPIVOTDATA("Sum of New UG E-Learning",'Pivot Table for Fact Book'!$A$3,"State","NC","type",13,"Type2","Technical")</f>
        <v>0</v>
      </c>
      <c r="AF35" s="197">
        <f>GETPIVOTDATA("Sum of Old UG E-Learning",'Pivot Table for Fact Book'!$A$3,"State","NC","type",14,"Type2","Technical")</f>
        <v>0</v>
      </c>
      <c r="AG35" s="197">
        <f>GETPIVOTDATA("Sum of New UG E-Learning",'Pivot Table for Fact Book'!$A$3,"State","NC","type",14,"Type2","Technical")</f>
        <v>0</v>
      </c>
      <c r="AH35" s="199">
        <f>GETPIVOTDATA("Sum of Old UG E-Learning",'Pivot Table for Fact Book'!$A$3,"State","NC","Type2","Technical")</f>
        <v>0</v>
      </c>
      <c r="AI35" s="199">
        <f>GETPIVOTDATA("Sum of New UG E-Learning",'Pivot Table for Fact Book'!$A$3,"State","NC","Type2","Technical")</f>
        <v>0</v>
      </c>
      <c r="AJ35" s="1"/>
    </row>
    <row r="36" spans="1:36">
      <c r="A36" s="175" t="s">
        <v>205</v>
      </c>
      <c r="B36" s="195">
        <f>GETPIVOTDATA("Sum of Old UG E-Learning",'Pivot Table for Fact Book'!$A$3,"State","OK","type",1,"Type2","Four-Year")</f>
        <v>53929</v>
      </c>
      <c r="C36" s="116">
        <f>GETPIVOTDATA("Sum of New UG E-Learning",'Pivot Table for Fact Book'!$A$3,"State","OK","type",1,"Type2","Four-Year")</f>
        <v>53613</v>
      </c>
      <c r="D36" s="195">
        <f>GETPIVOTDATA("Sum of Old UG E-Learning",'Pivot Table for Fact Book'!$A$3,"State","OK","type",2,"Type2","Four-Year")</f>
        <v>0</v>
      </c>
      <c r="E36" s="116">
        <f>GETPIVOTDATA("Sum of New UG E-Learning",'Pivot Table for Fact Book'!$A$3,"State","OK","type",2,"Type2","Four-Year")</f>
        <v>0</v>
      </c>
      <c r="F36" s="195">
        <f>GETPIVOTDATA("Sum of Old UG E-Learning",'Pivot Table for Fact Book'!$A$3,"State","OK","type",3,"Type2","Four-Year")</f>
        <v>17434</v>
      </c>
      <c r="G36" s="116">
        <f>GETPIVOTDATA("Sum of New UG E-Learning",'Pivot Table for Fact Book'!$A$3,"State","OK","type",3,"Type2","Four-Year")</f>
        <v>31027</v>
      </c>
      <c r="H36" s="195">
        <f>GETPIVOTDATA("Sum of Old UG E-Learning",'Pivot Table for Fact Book'!$A$3,"State","OK","type",4,"Type2","Four-Year")</f>
        <v>0</v>
      </c>
      <c r="I36" s="116">
        <f>GETPIVOTDATA("Sum of New UG E-Learning",'Pivot Table for Fact Book'!$A$3,"State","OK","type",4,"Type2","Four-Year")</f>
        <v>0</v>
      </c>
      <c r="J36" s="195">
        <f>GETPIVOTDATA("Sum of Old UG E-Learning",'Pivot Table for Fact Book'!$A$3,"State","OK","type",5,"Type2","Four-Year")</f>
        <v>71321</v>
      </c>
      <c r="K36" s="116">
        <f>GETPIVOTDATA("Sum of New UG E-Learning",'Pivot Table for Fact Book'!$A$3,"State","OK","type",5,"Type2","Four-Year")</f>
        <v>73927</v>
      </c>
      <c r="L36" s="195">
        <f>GETPIVOTDATA("Sum of Old UG E-Learning",'Pivot Table for Fact Book'!$A$3,"State","OK","type",6,"Type2","Four-Year")</f>
        <v>25908</v>
      </c>
      <c r="M36" s="116">
        <f>GETPIVOTDATA("Sum of New UG E-Learning",'Pivot Table for Fact Book'!$A$3,"State","OK","type",6,"Type2","Four-Year")</f>
        <v>29636</v>
      </c>
      <c r="N36" s="195">
        <f>GETPIVOTDATA("Sum of Old UG E-Learning",'Pivot Table for Fact Book'!$A$3,"State","OK","type",15,"Type2","Four-Year")</f>
        <v>0</v>
      </c>
      <c r="O36" s="116">
        <f>GETPIVOTDATA("Sum of New UG E-Learning",'Pivot Table for Fact Book'!$A$3,"State","OK","type",15,"Type2","Four-Year")</f>
        <v>0</v>
      </c>
      <c r="P36" s="196">
        <f>GETPIVOTDATA("Sum of Old UG E-Learning",'Pivot Table for Fact Book'!$A$3,"State","OK","Type2","Four-Year")</f>
        <v>168592</v>
      </c>
      <c r="Q36" s="196">
        <f>GETPIVOTDATA("Sum of New UG E-Learning",'Pivot Table for Fact Book'!$A$3,"State","OK","Type2","Four-Year")</f>
        <v>188203</v>
      </c>
      <c r="R36" s="195">
        <f>GETPIVOTDATA("Sum of Old UG E-Learning",'Pivot Table for Fact Book'!$A$3,"State","OK","type",7,"Type2","Two-Year")</f>
        <v>0</v>
      </c>
      <c r="S36" s="197">
        <f>GETPIVOTDATA("Sum of New UG E-Learning",'Pivot Table for Fact Book'!$A$3,"State","OK","type",7,"Type2","Two-Year")</f>
        <v>0</v>
      </c>
      <c r="T36" s="197">
        <f>GETPIVOTDATA("Sum of Old UG E-Learning",'Pivot Table for Fact Book'!$A$3,"State","OK","type",8,"Type2","Two-Year")</f>
        <v>96101</v>
      </c>
      <c r="U36" s="197">
        <f>GETPIVOTDATA("Sum of New UG E-Learning",'Pivot Table for Fact Book'!$A$3,"State","OK","type",8,"Type2","Two-Year")</f>
        <v>107264</v>
      </c>
      <c r="V36" s="197">
        <f>GETPIVOTDATA("Sum of Old UG E-Learning",'Pivot Table for Fact Book'!$A$3,"State","OK","type",9,"Type2","Two-Year")</f>
        <v>69880</v>
      </c>
      <c r="W36" s="197">
        <f>GETPIVOTDATA("Sum of New UG E-Learning",'Pivot Table for Fact Book'!$A$3,"State","OK","type",9,"Type2","Two-Year")</f>
        <v>69355</v>
      </c>
      <c r="X36" s="197">
        <f>GETPIVOTDATA("Sum of Old UG E-Learning",'Pivot Table for Fact Book'!$A$3,"State","OK","type",10,"Type2","Two-Year")</f>
        <v>62761</v>
      </c>
      <c r="Y36" s="197">
        <f>GETPIVOTDATA("Sum of New UG E-Learning",'Pivot Table for Fact Book'!$A$3,"State","OK","type",10,"Type2","Two-Year")</f>
        <v>77274</v>
      </c>
      <c r="Z36" s="198">
        <f>GETPIVOTDATA("Sum of Old UG E-Learning",'Pivot Table for Fact Book'!$A$3,"State","OK","Type2","Two-Year")</f>
        <v>228742</v>
      </c>
      <c r="AA36" s="198">
        <f>GETPIVOTDATA("Sum of New UG E-Learning",'Pivot Table for Fact Book'!$A$3,"State","OK","Type2","Two-Year")</f>
        <v>253893</v>
      </c>
      <c r="AB36" s="195">
        <f>GETPIVOTDATA("Sum of Old UG E-Learning",'Pivot Table for Fact Book'!$A$3,"State","OK","type",12,"Type2","Technical")</f>
        <v>0</v>
      </c>
      <c r="AC36" s="197">
        <f>GETPIVOTDATA("Sum of New UG E-Learning",'Pivot Table for Fact Book'!$A$3,"State","OK","type",12,"Type2","Technical")</f>
        <v>0</v>
      </c>
      <c r="AD36" s="197">
        <f>GETPIVOTDATA("Sum of Old UG E-Learning",'Pivot Table for Fact Book'!$A$3,"State","OK","type",13,"Type2","Technical")</f>
        <v>0</v>
      </c>
      <c r="AE36" s="197">
        <f>GETPIVOTDATA("Sum of New UG E-Learning",'Pivot Table for Fact Book'!$A$3,"State","OK","type",13,"Type2","Technical")</f>
        <v>0</v>
      </c>
      <c r="AF36" s="197">
        <f>GETPIVOTDATA("Sum of Old UG E-Learning",'Pivot Table for Fact Book'!$A$3,"State","OK","type",14,"Type2","Technical")</f>
        <v>0</v>
      </c>
      <c r="AG36" s="197">
        <f>GETPIVOTDATA("Sum of New UG E-Learning",'Pivot Table for Fact Book'!$A$3,"State","OK","type",14,"Type2","Technical")</f>
        <v>0</v>
      </c>
      <c r="AH36" s="199">
        <f>GETPIVOTDATA("Sum of Old UG E-Learning",'Pivot Table for Fact Book'!$A$3,"State","OK","Type2","Technical")</f>
        <v>0</v>
      </c>
      <c r="AI36" s="199">
        <f>GETPIVOTDATA("Sum of New UG E-Learning",'Pivot Table for Fact Book'!$A$3,"State","OK","Type2","Technical")</f>
        <v>0</v>
      </c>
      <c r="AJ36" s="1"/>
    </row>
    <row r="37" spans="1:36">
      <c r="A37" s="175" t="s">
        <v>228</v>
      </c>
      <c r="B37" s="195">
        <f>GETPIVOTDATA("Sum of Old UG E-Learning",'Pivot Table for Fact Book'!$A$3,"State","SC","type",1,"Type2","Four-Year")</f>
        <v>21587</v>
      </c>
      <c r="C37" s="116">
        <f>GETPIVOTDATA("Sum of New UG E-Learning",'Pivot Table for Fact Book'!$A$3,"State","SC","type",1,"Type2","Four-Year")</f>
        <v>27969</v>
      </c>
      <c r="D37" s="195">
        <f>GETPIVOTDATA("Sum of Old UG E-Learning",'Pivot Table for Fact Book'!$A$3,"State","SC","type",2,"Type2","Four-Year")</f>
        <v>0</v>
      </c>
      <c r="E37" s="116">
        <f>GETPIVOTDATA("Sum of New UG E-Learning",'Pivot Table for Fact Book'!$A$3,"State","SC","type",2,"Type2","Four-Year")</f>
        <v>0</v>
      </c>
      <c r="F37" s="195">
        <f>GETPIVOTDATA("Sum of Old UG E-Learning",'Pivot Table for Fact Book'!$A$3,"State","SC","type",3,"Type2","Four-Year")</f>
        <v>0</v>
      </c>
      <c r="G37" s="116">
        <f>GETPIVOTDATA("Sum of New UG E-Learning",'Pivot Table for Fact Book'!$A$3,"State","SC","type",3,"Type2","Four-Year")</f>
        <v>0</v>
      </c>
      <c r="H37" s="195">
        <f>GETPIVOTDATA("Sum of Old UG E-Learning",'Pivot Table for Fact Book'!$A$3,"State","SC","type",4,"Type2","Four-Year")</f>
        <v>33</v>
      </c>
      <c r="I37" s="116">
        <f>GETPIVOTDATA("Sum of New UG E-Learning",'Pivot Table for Fact Book'!$A$3,"State","SC","type",4,"Type2","Four-Year")</f>
        <v>102</v>
      </c>
      <c r="J37" s="195">
        <f>GETPIVOTDATA("Sum of Old UG E-Learning",'Pivot Table for Fact Book'!$A$3,"State","SC","type",5,"Type2","Four-Year")</f>
        <v>4111</v>
      </c>
      <c r="K37" s="116">
        <f>GETPIVOTDATA("Sum of New UG E-Learning",'Pivot Table for Fact Book'!$A$3,"State","SC","type",5,"Type2","Four-Year")</f>
        <v>8556.5</v>
      </c>
      <c r="L37" s="195">
        <f>GETPIVOTDATA("Sum of Old UG E-Learning",'Pivot Table for Fact Book'!$A$3,"State","SC","type",6,"Type2","Four-Year")</f>
        <v>622</v>
      </c>
      <c r="M37" s="116">
        <f>GETPIVOTDATA("Sum of New UG E-Learning",'Pivot Table for Fact Book'!$A$3,"State","SC","type",6,"Type2","Four-Year")</f>
        <v>647</v>
      </c>
      <c r="N37" s="195">
        <f>GETPIVOTDATA("Sum of Old UG E-Learning",'Pivot Table for Fact Book'!$A$3,"State","SC","type",15,"Type2","Four-Year")</f>
        <v>0</v>
      </c>
      <c r="O37" s="116">
        <f>GETPIVOTDATA("Sum of New UG E-Learning",'Pivot Table for Fact Book'!$A$3,"State","SC","type",15,"Type2","Four-Year")</f>
        <v>0</v>
      </c>
      <c r="P37" s="196">
        <f>GETPIVOTDATA("Sum of Old UG E-Learning",'Pivot Table for Fact Book'!$A$3,"State","SC","Type2","Four-Year")</f>
        <v>26353</v>
      </c>
      <c r="Q37" s="196">
        <f>GETPIVOTDATA("Sum of New UG E-Learning",'Pivot Table for Fact Book'!$A$3,"State","SC","Type2","Four-Year")</f>
        <v>37274.5</v>
      </c>
      <c r="R37" s="195">
        <f>GETPIVOTDATA("Sum of Old UG E-Learning",'Pivot Table for Fact Book'!$A$3,"State","SC","type",7,"Type2","Two-Year")</f>
        <v>1333</v>
      </c>
      <c r="S37" s="197">
        <f>GETPIVOTDATA("Sum of New UG E-Learning",'Pivot Table for Fact Book'!$A$3,"State","SC","type",7,"Type2","Two-Year")</f>
        <v>1171</v>
      </c>
      <c r="T37" s="197">
        <f>GETPIVOTDATA("Sum of Old UG E-Learning",'Pivot Table for Fact Book'!$A$3,"State","SC","type",8,"Type2","Two-Year")</f>
        <v>45560</v>
      </c>
      <c r="U37" s="197">
        <f>GETPIVOTDATA("Sum of New UG E-Learning",'Pivot Table for Fact Book'!$A$3,"State","SC","type",8,"Type2","Two-Year")</f>
        <v>139206</v>
      </c>
      <c r="V37" s="197">
        <f>GETPIVOTDATA("Sum of Old UG E-Learning",'Pivot Table for Fact Book'!$A$3,"State","SC","type",9,"Type2","Two-Year")</f>
        <v>22443</v>
      </c>
      <c r="W37" s="197">
        <f>GETPIVOTDATA("Sum of New UG E-Learning",'Pivot Table for Fact Book'!$A$3,"State","SC","type",9,"Type2","Two-Year")</f>
        <v>156296</v>
      </c>
      <c r="X37" s="197">
        <f>GETPIVOTDATA("Sum of Old UG E-Learning",'Pivot Table for Fact Book'!$A$3,"State","SC","type",10,"Type2","Two-Year")</f>
        <v>120</v>
      </c>
      <c r="Y37" s="197">
        <f>GETPIVOTDATA("Sum of New UG E-Learning",'Pivot Table for Fact Book'!$A$3,"State","SC","type",10,"Type2","Two-Year")</f>
        <v>17237</v>
      </c>
      <c r="Z37" s="198">
        <f>GETPIVOTDATA("Sum of Old UG E-Learning",'Pivot Table for Fact Book'!$A$3,"State","SC","Type2","Two-Year")</f>
        <v>69456</v>
      </c>
      <c r="AA37" s="198">
        <f>GETPIVOTDATA("Sum of New UG E-Learning",'Pivot Table for Fact Book'!$A$3,"State","SC","Type2","Two-Year")</f>
        <v>313910</v>
      </c>
      <c r="AB37" s="195">
        <f>GETPIVOTDATA("Sum of Old UG E-Learning",'Pivot Table for Fact Book'!$A$3,"State","SC","type",12,"Type2","Technical")</f>
        <v>0</v>
      </c>
      <c r="AC37" s="197">
        <f>GETPIVOTDATA("Sum of New UG E-Learning",'Pivot Table for Fact Book'!$A$3,"State","SC","type",12,"Type2","Technical")</f>
        <v>0</v>
      </c>
      <c r="AD37" s="197">
        <f>GETPIVOTDATA("Sum of Old UG E-Learning",'Pivot Table for Fact Book'!$A$3,"State","SC","type",13,"Type2","Technical")</f>
        <v>0</v>
      </c>
      <c r="AE37" s="197">
        <f>GETPIVOTDATA("Sum of New UG E-Learning",'Pivot Table for Fact Book'!$A$3,"State","SC","type",13,"Type2","Technical")</f>
        <v>0</v>
      </c>
      <c r="AF37" s="197">
        <f>GETPIVOTDATA("Sum of Old UG E-Learning",'Pivot Table for Fact Book'!$A$3,"State","SC","type",14,"Type2","Technical")</f>
        <v>0</v>
      </c>
      <c r="AG37" s="197">
        <f>GETPIVOTDATA("Sum of New UG E-Learning",'Pivot Table for Fact Book'!$A$3,"State","SC","type",14,"Type2","Technical")</f>
        <v>0</v>
      </c>
      <c r="AH37" s="199">
        <f>GETPIVOTDATA("Sum of Old UG E-Learning",'Pivot Table for Fact Book'!$A$3,"State","SC","Type2","Technical")</f>
        <v>0</v>
      </c>
      <c r="AI37" s="199">
        <f>GETPIVOTDATA("Sum of New UG E-Learning",'Pivot Table for Fact Book'!$A$3,"State","SC","Type2","Technical")</f>
        <v>0</v>
      </c>
      <c r="AJ37" s="1"/>
    </row>
    <row r="38" spans="1:36">
      <c r="A38" s="175" t="s">
        <v>229</v>
      </c>
      <c r="B38" s="195">
        <f>GETPIVOTDATA("Sum of Old UG E-Learning",'Pivot Table for Fact Book'!$A$3,"State","TN","type",1,"Type2","Four-Year")</f>
        <v>0</v>
      </c>
      <c r="C38" s="116">
        <f>GETPIVOTDATA("Sum of New UG E-Learning",'Pivot Table for Fact Book'!$A$3,"State","TN","type",1,"Type2","Four-Year")</f>
        <v>83713</v>
      </c>
      <c r="D38" s="195">
        <f>GETPIVOTDATA("Sum of Old UG E-Learning",'Pivot Table for Fact Book'!$A$3,"State","TN","type",2,"Type2","Four-Year")</f>
        <v>0</v>
      </c>
      <c r="E38" s="116">
        <f>GETPIVOTDATA("Sum of New UG E-Learning",'Pivot Table for Fact Book'!$A$3,"State","TN","type",2,"Type2","Four-Year")</f>
        <v>37652</v>
      </c>
      <c r="F38" s="195">
        <f>GETPIVOTDATA("Sum of Old UG E-Learning",'Pivot Table for Fact Book'!$A$3,"State","TN","type",3,"Type2","Four-Year")</f>
        <v>0</v>
      </c>
      <c r="G38" s="116">
        <f>GETPIVOTDATA("Sum of New UG E-Learning",'Pivot Table for Fact Book'!$A$3,"State","TN","type",3,"Type2","Four-Year")</f>
        <v>122340</v>
      </c>
      <c r="H38" s="195">
        <f>GETPIVOTDATA("Sum of Old UG E-Learning",'Pivot Table for Fact Book'!$A$3,"State","TN","type",4,"Type2","Four-Year")</f>
        <v>0</v>
      </c>
      <c r="I38" s="116">
        <f>GETPIVOTDATA("Sum of New UG E-Learning",'Pivot Table for Fact Book'!$A$3,"State","TN","type",4,"Type2","Four-Year")</f>
        <v>82450</v>
      </c>
      <c r="J38" s="195">
        <f>GETPIVOTDATA("Sum of Old UG E-Learning",'Pivot Table for Fact Book'!$A$3,"State","TN","type",5,"Type2","Four-Year")</f>
        <v>0</v>
      </c>
      <c r="K38" s="116">
        <f>GETPIVOTDATA("Sum of New UG E-Learning",'Pivot Table for Fact Book'!$A$3,"State","TN","type",5,"Type2","Four-Year")</f>
        <v>7747</v>
      </c>
      <c r="L38" s="195">
        <f>GETPIVOTDATA("Sum of Old UG E-Learning",'Pivot Table for Fact Book'!$A$3,"State","TN","type",6,"Type2","Four-Year")</f>
        <v>0</v>
      </c>
      <c r="M38" s="116">
        <f>GETPIVOTDATA("Sum of New UG E-Learning",'Pivot Table for Fact Book'!$A$3,"State","TN","type",6,"Type2","Four-Year")</f>
        <v>0</v>
      </c>
      <c r="N38" s="195">
        <f>GETPIVOTDATA("Sum of Old UG E-Learning",'Pivot Table for Fact Book'!$A$3,"State","TN","type",15,"Type2","Four-Year")</f>
        <v>0</v>
      </c>
      <c r="O38" s="116">
        <f>GETPIVOTDATA("Sum of New UG E-Learning",'Pivot Table for Fact Book'!$A$3,"State","TN","type",15,"Type2","Four-Year")</f>
        <v>0</v>
      </c>
      <c r="P38" s="196">
        <f>GETPIVOTDATA("Sum of Old UG E-Learning",'Pivot Table for Fact Book'!$A$3,"State","TN","Type2","Four-Year")</f>
        <v>0</v>
      </c>
      <c r="Q38" s="196">
        <f>GETPIVOTDATA("Sum of New UG E-Learning",'Pivot Table for Fact Book'!$A$3,"State","TN","Type2","Four-Year")</f>
        <v>333902</v>
      </c>
      <c r="R38" s="195">
        <f>GETPIVOTDATA("Sum of Old UG E-Learning",'Pivot Table for Fact Book'!$A$3,"State","TN","type",7,"Type2","Two-Year")</f>
        <v>0</v>
      </c>
      <c r="S38" s="197">
        <f>GETPIVOTDATA("Sum of New UG E-Learning",'Pivot Table for Fact Book'!$A$3,"State","TN","type",7,"Type2","Two-Year")</f>
        <v>0</v>
      </c>
      <c r="T38" s="197">
        <f>GETPIVOTDATA("Sum of Old UG E-Learning",'Pivot Table for Fact Book'!$A$3,"State","TN","type",8,"Type2","Two-Year")</f>
        <v>0</v>
      </c>
      <c r="U38" s="197">
        <f>GETPIVOTDATA("Sum of New UG E-Learning",'Pivot Table for Fact Book'!$A$3,"State","TN","type",8,"Type2","Two-Year")</f>
        <v>82914</v>
      </c>
      <c r="V38" s="197">
        <f>GETPIVOTDATA("Sum of Old UG E-Learning",'Pivot Table for Fact Book'!$A$3,"State","TN","type",9,"Type2","Two-Year")</f>
        <v>0</v>
      </c>
      <c r="W38" s="197">
        <f>GETPIVOTDATA("Sum of New UG E-Learning",'Pivot Table for Fact Book'!$A$3,"State","TN","type",9,"Type2","Two-Year")</f>
        <v>201657</v>
      </c>
      <c r="X38" s="197">
        <f>GETPIVOTDATA("Sum of Old UG E-Learning",'Pivot Table for Fact Book'!$A$3,"State","TN","type",10,"Type2","Two-Year")</f>
        <v>0</v>
      </c>
      <c r="Y38" s="197">
        <f>GETPIVOTDATA("Sum of New UG E-Learning",'Pivot Table for Fact Book'!$A$3,"State","TN","type",10,"Type2","Two-Year")</f>
        <v>11289</v>
      </c>
      <c r="Z38" s="198">
        <f>GETPIVOTDATA("Sum of Old UG E-Learning",'Pivot Table for Fact Book'!$A$3,"State","TN","Type2","Two-Year")</f>
        <v>0</v>
      </c>
      <c r="AA38" s="198">
        <f>GETPIVOTDATA("Sum of New UG E-Learning",'Pivot Table for Fact Book'!$A$3,"State","TN","Type2","Two-Year")</f>
        <v>295860</v>
      </c>
      <c r="AB38" s="195">
        <f>GETPIVOTDATA("Sum of Old UG E-Learning",'Pivot Table for Fact Book'!$A$3,"State","TN","type",12,"Type2","Technical")</f>
        <v>0</v>
      </c>
      <c r="AC38" s="197">
        <f>GETPIVOTDATA("Sum of New UG E-Learning",'Pivot Table for Fact Book'!$A$3,"State","TN","type",12,"Type2","Technical")</f>
        <v>0</v>
      </c>
      <c r="AD38" s="197">
        <f>GETPIVOTDATA("Sum of Old UG E-Learning",'Pivot Table for Fact Book'!$A$3,"State","TN","type",13,"Type2","Technical")</f>
        <v>0</v>
      </c>
      <c r="AE38" s="197">
        <f>GETPIVOTDATA("Sum of New UG E-Learning",'Pivot Table for Fact Book'!$A$3,"State","TN","type",13,"Type2","Technical")</f>
        <v>0</v>
      </c>
      <c r="AF38" s="197">
        <f>GETPIVOTDATA("Sum of Old UG E-Learning",'Pivot Table for Fact Book'!$A$3,"State","TN","type",14,"Type2","Technical")</f>
        <v>0</v>
      </c>
      <c r="AG38" s="197">
        <f>GETPIVOTDATA("Sum of New UG E-Learning",'Pivot Table for Fact Book'!$A$3,"State","TN","type",14,"Type2","Technical")</f>
        <v>0</v>
      </c>
      <c r="AH38" s="199">
        <f>GETPIVOTDATA("Sum of Old UG E-Learning",'Pivot Table for Fact Book'!$A$3,"State","TN","Type2","Technical")</f>
        <v>0</v>
      </c>
      <c r="AI38" s="199">
        <f>GETPIVOTDATA("Sum of New UG E-Learning",'Pivot Table for Fact Book'!$A$3,"State","TN","Type2","Technical")</f>
        <v>0</v>
      </c>
      <c r="AJ38" s="1"/>
    </row>
    <row r="39" spans="1:36">
      <c r="A39" s="175" t="s">
        <v>213</v>
      </c>
      <c r="B39" s="195">
        <f>GETPIVOTDATA("Sum of Old UG E-Learning",'Pivot Table for Fact Book'!$A$3,"State","TX","type",1,"Type2","Four-Year")</f>
        <v>208963</v>
      </c>
      <c r="C39" s="116">
        <f>GETPIVOTDATA("Sum of New UG E-Learning",'Pivot Table for Fact Book'!$A$3,"State","TX","type",1,"Type2","Four-Year")</f>
        <v>241333</v>
      </c>
      <c r="D39" s="195">
        <f>GETPIVOTDATA("Sum of Old UG E-Learning",'Pivot Table for Fact Book'!$A$3,"State","TX","type",2,"Type2","Four-Year")</f>
        <v>34223</v>
      </c>
      <c r="E39" s="116">
        <f>GETPIVOTDATA("Sum of New UG E-Learning",'Pivot Table for Fact Book'!$A$3,"State","TX","type",2,"Type2","Four-Year")</f>
        <v>45814</v>
      </c>
      <c r="F39" s="195">
        <f>GETPIVOTDATA("Sum of Old UG E-Learning",'Pivot Table for Fact Book'!$A$3,"State","TX","type",3,"Type2","Four-Year")</f>
        <v>173761</v>
      </c>
      <c r="G39" s="116">
        <f>GETPIVOTDATA("Sum of New UG E-Learning",'Pivot Table for Fact Book'!$A$3,"State","TX","type",3,"Type2","Four-Year")</f>
        <v>185618</v>
      </c>
      <c r="H39" s="195">
        <f>GETPIVOTDATA("Sum of Old UG E-Learning",'Pivot Table for Fact Book'!$A$3,"State","TX","type",4,"Type2","Four-Year")</f>
        <v>29466</v>
      </c>
      <c r="I39" s="116">
        <f>GETPIVOTDATA("Sum of New UG E-Learning",'Pivot Table for Fact Book'!$A$3,"State","TX","type",4,"Type2","Four-Year")</f>
        <v>30673</v>
      </c>
      <c r="J39" s="195">
        <f>GETPIVOTDATA("Sum of Old UG E-Learning",'Pivot Table for Fact Book'!$A$3,"State","TX","type",5,"Type2","Four-Year")</f>
        <v>43161</v>
      </c>
      <c r="K39" s="116">
        <f>GETPIVOTDATA("Sum of New UG E-Learning",'Pivot Table for Fact Book'!$A$3,"State","TX","type",5,"Type2","Four-Year")</f>
        <v>54183</v>
      </c>
      <c r="L39" s="195">
        <f>GETPIVOTDATA("Sum of Old UG E-Learning",'Pivot Table for Fact Book'!$A$3,"State","TX","type",6,"Type2","Four-Year")</f>
        <v>0</v>
      </c>
      <c r="M39" s="116">
        <f>GETPIVOTDATA("Sum of New UG E-Learning",'Pivot Table for Fact Book'!$A$3,"State","TX","type",6,"Type2","Four-Year")</f>
        <v>0</v>
      </c>
      <c r="N39" s="195">
        <f>GETPIVOTDATA("Sum of Old UG E-Learning",'Pivot Table for Fact Book'!$A$3,"State","TX","type",15,"Type2","Four-Year")</f>
        <v>0</v>
      </c>
      <c r="O39" s="116">
        <f>GETPIVOTDATA("Sum of New UG E-Learning",'Pivot Table for Fact Book'!$A$3,"State","TX","type",15,"Type2","Four-Year")</f>
        <v>0</v>
      </c>
      <c r="P39" s="196">
        <f>GETPIVOTDATA("Sum of Old UG E-Learning",'Pivot Table for Fact Book'!$A$3,"State","TX","Type2","Four-Year")</f>
        <v>489574</v>
      </c>
      <c r="Q39" s="196">
        <f>GETPIVOTDATA("Sum of New UG E-Learning",'Pivot Table for Fact Book'!$A$3,"State","TX","Type2","Four-Year")</f>
        <v>557621</v>
      </c>
      <c r="R39" s="195">
        <f>GETPIVOTDATA("Sum of Old UG E-Learning",'Pivot Table for Fact Book'!$A$3,"State","TX","type",7,"Type2","Two-Year")</f>
        <v>0</v>
      </c>
      <c r="S39" s="197">
        <f>GETPIVOTDATA("Sum of New UG E-Learning",'Pivot Table for Fact Book'!$A$3,"State","TX","type",7,"Type2","Two-Year")</f>
        <v>0</v>
      </c>
      <c r="T39" s="197">
        <f>GETPIVOTDATA("Sum of Old UG E-Learning",'Pivot Table for Fact Book'!$A$3,"State","TX","type",8,"Type2","Two-Year")</f>
        <v>1075763</v>
      </c>
      <c r="U39" s="197">
        <f>GETPIVOTDATA("Sum of New UG E-Learning",'Pivot Table for Fact Book'!$A$3,"State","TX","type",8,"Type2","Two-Year")</f>
        <v>1278801</v>
      </c>
      <c r="V39" s="197">
        <f>GETPIVOTDATA("Sum of Old UG E-Learning",'Pivot Table for Fact Book'!$A$3,"State","TX","type",9,"Type2","Two-Year")</f>
        <v>361528</v>
      </c>
      <c r="W39" s="197">
        <f>GETPIVOTDATA("Sum of New UG E-Learning",'Pivot Table for Fact Book'!$A$3,"State","TX","type",9,"Type2","Two-Year")</f>
        <v>432440</v>
      </c>
      <c r="X39" s="197">
        <f>GETPIVOTDATA("Sum of Old UG E-Learning",'Pivot Table for Fact Book'!$A$3,"State","TX","type",10,"Type2","Two-Year")</f>
        <v>81585</v>
      </c>
      <c r="Y39" s="197">
        <f>GETPIVOTDATA("Sum of New UG E-Learning",'Pivot Table for Fact Book'!$A$3,"State","TX","type",10,"Type2","Two-Year")</f>
        <v>114178</v>
      </c>
      <c r="Z39" s="198">
        <f>GETPIVOTDATA("Sum of Old UG E-Learning",'Pivot Table for Fact Book'!$A$3,"State","TX","Type2","Two-Year")</f>
        <v>1518876</v>
      </c>
      <c r="AA39" s="198">
        <f>GETPIVOTDATA("Sum of New UG E-Learning",'Pivot Table for Fact Book'!$A$3,"State","TX","Type2","Two-Year")</f>
        <v>1825419</v>
      </c>
      <c r="AB39" s="195">
        <f>GETPIVOTDATA("Sum of Old UG E-Learning",'Pivot Table for Fact Book'!$A$3,"State","TX","type",12,"Type2","Technical")</f>
        <v>0</v>
      </c>
      <c r="AC39" s="197">
        <f>GETPIVOTDATA("Sum of New UG E-Learning",'Pivot Table for Fact Book'!$A$3,"State","TX","type",12,"Type2","Technical")</f>
        <v>0</v>
      </c>
      <c r="AD39" s="197">
        <f>GETPIVOTDATA("Sum of Old UG E-Learning",'Pivot Table for Fact Book'!$A$3,"State","TX","type",13,"Type2","Technical")</f>
        <v>0</v>
      </c>
      <c r="AE39" s="197">
        <f>GETPIVOTDATA("Sum of New UG E-Learning",'Pivot Table for Fact Book'!$A$3,"State","TX","type",13,"Type2","Technical")</f>
        <v>0</v>
      </c>
      <c r="AF39" s="197">
        <f>GETPIVOTDATA("Sum of Old UG E-Learning",'Pivot Table for Fact Book'!$A$3,"State","TX","type",14,"Type2","Technical")</f>
        <v>0</v>
      </c>
      <c r="AG39" s="197">
        <f>GETPIVOTDATA("Sum of New UG E-Learning",'Pivot Table for Fact Book'!$A$3,"State","TX","type",14,"Type2","Technical")</f>
        <v>0</v>
      </c>
      <c r="AH39" s="199">
        <f>GETPIVOTDATA("Sum of Old UG E-Learning",'Pivot Table for Fact Book'!$A$3,"State","TX","Type2","Technical")</f>
        <v>0</v>
      </c>
      <c r="AI39" s="199">
        <f>GETPIVOTDATA("Sum of New UG E-Learning",'Pivot Table for Fact Book'!$A$3,"State","TX","Type2","Technical")</f>
        <v>0</v>
      </c>
      <c r="AJ39" s="1"/>
    </row>
    <row r="40" spans="1:36">
      <c r="A40" s="175" t="s">
        <v>230</v>
      </c>
      <c r="B40" s="195">
        <f>GETPIVOTDATA("Sum of Old UG E-Learning",'Pivot Table for Fact Book'!$A$3,"State","VA","type",1,"Type2","Four-Year")</f>
        <v>0</v>
      </c>
      <c r="C40" s="116">
        <f>GETPIVOTDATA("Sum of New UG E-Learning",'Pivot Table for Fact Book'!$A$3,"State","VA","type",1,"Type2","Four-Year")</f>
        <v>0</v>
      </c>
      <c r="D40" s="195">
        <f>GETPIVOTDATA("Sum of Old UG E-Learning",'Pivot Table for Fact Book'!$A$3,"State","VA","type",2,"Type2","Four-Year")</f>
        <v>0</v>
      </c>
      <c r="E40" s="116">
        <f>GETPIVOTDATA("Sum of New UG E-Learning",'Pivot Table for Fact Book'!$A$3,"State","VA","type",2,"Type2","Four-Year")</f>
        <v>0</v>
      </c>
      <c r="F40" s="195">
        <f>GETPIVOTDATA("Sum of Old UG E-Learning",'Pivot Table for Fact Book'!$A$3,"State","VA","type",3,"Type2","Four-Year")</f>
        <v>0</v>
      </c>
      <c r="G40" s="116">
        <f>GETPIVOTDATA("Sum of New UG E-Learning",'Pivot Table for Fact Book'!$A$3,"State","VA","type",3,"Type2","Four-Year")</f>
        <v>0</v>
      </c>
      <c r="H40" s="195">
        <f>GETPIVOTDATA("Sum of Old UG E-Learning",'Pivot Table for Fact Book'!$A$3,"State","VA","type",4,"Type2","Four-Year")</f>
        <v>0</v>
      </c>
      <c r="I40" s="116">
        <f>GETPIVOTDATA("Sum of New UG E-Learning",'Pivot Table for Fact Book'!$A$3,"State","VA","type",4,"Type2","Four-Year")</f>
        <v>0</v>
      </c>
      <c r="J40" s="195">
        <f>GETPIVOTDATA("Sum of Old UG E-Learning",'Pivot Table for Fact Book'!$A$3,"State","VA","type",5,"Type2","Four-Year")</f>
        <v>0</v>
      </c>
      <c r="K40" s="116">
        <f>GETPIVOTDATA("Sum of New UG E-Learning",'Pivot Table for Fact Book'!$A$3,"State","VA","type",5,"Type2","Four-Year")</f>
        <v>0</v>
      </c>
      <c r="L40" s="195">
        <f>GETPIVOTDATA("Sum of Old UG E-Learning",'Pivot Table for Fact Book'!$A$3,"State","VA","type",6,"Type2","Four-Year")</f>
        <v>0</v>
      </c>
      <c r="M40" s="116">
        <f>GETPIVOTDATA("Sum of New UG E-Learning",'Pivot Table for Fact Book'!$A$3,"State","VA","type",6,"Type2","Four-Year")</f>
        <v>0</v>
      </c>
      <c r="N40" s="195">
        <f>GETPIVOTDATA("Sum of Old UG E-Learning",'Pivot Table for Fact Book'!$A$3,"State","VA","type",15,"Type2","Four-Year")</f>
        <v>0</v>
      </c>
      <c r="O40" s="116">
        <f>GETPIVOTDATA("Sum of New UG E-Learning",'Pivot Table for Fact Book'!$A$3,"State","VA","type",15,"Type2","Four-Year")</f>
        <v>0</v>
      </c>
      <c r="P40" s="196">
        <f>GETPIVOTDATA("Sum of Old UG E-Learning",'Pivot Table for Fact Book'!$A$3,"State","VA","Type2","Four-Year")</f>
        <v>0</v>
      </c>
      <c r="Q40" s="196">
        <f>GETPIVOTDATA("Sum of New UG E-Learning",'Pivot Table for Fact Book'!$A$3,"State","VA","Type2","Four-Year")</f>
        <v>0</v>
      </c>
      <c r="R40" s="195">
        <f>GETPIVOTDATA("Sum of Old UG E-Learning",'Pivot Table for Fact Book'!$A$3,"State","VA","type",7,"Type2","Two-Year")</f>
        <v>0</v>
      </c>
      <c r="S40" s="197">
        <f>GETPIVOTDATA("Sum of New UG E-Learning",'Pivot Table for Fact Book'!$A$3,"State","VA","type",7,"Type2","Two-Year")</f>
        <v>0</v>
      </c>
      <c r="T40" s="197">
        <f>GETPIVOTDATA("Sum of Old UG E-Learning",'Pivot Table for Fact Book'!$A$3,"State","VA","type",8,"Type2","Two-Year")</f>
        <v>0</v>
      </c>
      <c r="U40" s="197">
        <f>GETPIVOTDATA("Sum of New UG E-Learning",'Pivot Table for Fact Book'!$A$3,"State","VA","type",8,"Type2","Two-Year")</f>
        <v>0</v>
      </c>
      <c r="V40" s="197">
        <f>GETPIVOTDATA("Sum of Old UG E-Learning",'Pivot Table for Fact Book'!$A$3,"State","VA","type",9,"Type2","Two-Year")</f>
        <v>0</v>
      </c>
      <c r="W40" s="197">
        <f>GETPIVOTDATA("Sum of New UG E-Learning",'Pivot Table for Fact Book'!$A$3,"State","VA","type",9,"Type2","Two-Year")</f>
        <v>0</v>
      </c>
      <c r="X40" s="197">
        <f>GETPIVOTDATA("Sum of Old UG E-Learning",'Pivot Table for Fact Book'!$A$3,"State","VA","type",10,"Type2","Two-Year")</f>
        <v>0</v>
      </c>
      <c r="Y40" s="197">
        <f>GETPIVOTDATA("Sum of New UG E-Learning",'Pivot Table for Fact Book'!$A$3,"State","VA","type",10,"Type2","Two-Year")</f>
        <v>0</v>
      </c>
      <c r="Z40" s="198">
        <f>GETPIVOTDATA("Sum of Old UG E-Learning",'Pivot Table for Fact Book'!$A$3,"State","VA","Type2","Two-Year")</f>
        <v>0</v>
      </c>
      <c r="AA40" s="198">
        <f>GETPIVOTDATA("Sum of New UG E-Learning",'Pivot Table for Fact Book'!$A$3,"State","VA","Type2","Two-Year")</f>
        <v>0</v>
      </c>
      <c r="AB40" s="195">
        <f>GETPIVOTDATA("Sum of Old UG E-Learning",'Pivot Table for Fact Book'!$A$3,"State","VA","type",12,"Type2","Technical")</f>
        <v>0</v>
      </c>
      <c r="AC40" s="197">
        <f>GETPIVOTDATA("Sum of New UG E-Learning",'Pivot Table for Fact Book'!$A$3,"State","VA","type",12,"Type2","Technical")</f>
        <v>0</v>
      </c>
      <c r="AD40" s="197">
        <f>GETPIVOTDATA("Sum of Old UG E-Learning",'Pivot Table for Fact Book'!$A$3,"State","VA","type",13,"Type2","Technical")</f>
        <v>0</v>
      </c>
      <c r="AE40" s="197">
        <f>GETPIVOTDATA("Sum of New UG E-Learning",'Pivot Table for Fact Book'!$A$3,"State","VA","type",13,"Type2","Technical")</f>
        <v>0</v>
      </c>
      <c r="AF40" s="197">
        <f>GETPIVOTDATA("Sum of Old UG E-Learning",'Pivot Table for Fact Book'!$A$3,"State","VA","type",14,"Type2","Technical")</f>
        <v>0</v>
      </c>
      <c r="AG40" s="197">
        <f>GETPIVOTDATA("Sum of New UG E-Learning",'Pivot Table for Fact Book'!$A$3,"State","VA","type",14,"Type2","Technical")</f>
        <v>0</v>
      </c>
      <c r="AH40" s="199">
        <f>GETPIVOTDATA("Sum of Old UG E-Learning",'Pivot Table for Fact Book'!$A$3,"State","VA","Type2","Technical")</f>
        <v>0</v>
      </c>
      <c r="AI40" s="199">
        <f>GETPIVOTDATA("Sum of New UG E-Learning",'Pivot Table for Fact Book'!$A$3,"State","VA","Type2","Technical")</f>
        <v>0</v>
      </c>
      <c r="AJ40" s="1"/>
    </row>
    <row r="41" spans="1:36">
      <c r="A41" s="175" t="s">
        <v>206</v>
      </c>
      <c r="B41" s="195">
        <f>GETPIVOTDATA("Sum of Old UG E-Learning",'Pivot Table for Fact Book'!$A$3,"State","WV","type",1,"Type2","Four-Year")</f>
        <v>28739</v>
      </c>
      <c r="C41" s="116">
        <f>GETPIVOTDATA("Sum of New UG E-Learning",'Pivot Table for Fact Book'!$A$3,"State","WV","type",1,"Type2","Four-Year")</f>
        <v>31542</v>
      </c>
      <c r="D41" s="195">
        <f>GETPIVOTDATA("Sum of Old UG E-Learning",'Pivot Table for Fact Book'!$A$3,"State","WV","type",2,"Type2","Four-Year")</f>
        <v>0</v>
      </c>
      <c r="E41" s="116">
        <f>GETPIVOTDATA("Sum of New UG E-Learning",'Pivot Table for Fact Book'!$A$3,"State","WV","type",2,"Type2","Four-Year")</f>
        <v>0</v>
      </c>
      <c r="F41" s="195">
        <f>GETPIVOTDATA("Sum of Old UG E-Learning",'Pivot Table for Fact Book'!$A$3,"State","WV","type",3,"Type2","Four-Year")</f>
        <v>26158</v>
      </c>
      <c r="G41" s="116">
        <f>GETPIVOTDATA("Sum of New UG E-Learning",'Pivot Table for Fact Book'!$A$3,"State","WV","type",3,"Type2","Four-Year")</f>
        <v>29896</v>
      </c>
      <c r="H41" s="195">
        <f>GETPIVOTDATA("Sum of Old UG E-Learning",'Pivot Table for Fact Book'!$A$3,"State","WV","type",4,"Type2","Four-Year")</f>
        <v>0</v>
      </c>
      <c r="I41" s="116">
        <f>GETPIVOTDATA("Sum of New UG E-Learning",'Pivot Table for Fact Book'!$A$3,"State","WV","type",4,"Type2","Four-Year")</f>
        <v>0</v>
      </c>
      <c r="J41" s="195">
        <f>GETPIVOTDATA("Sum of Old UG E-Learning",'Pivot Table for Fact Book'!$A$3,"State","WV","type",5,"Type2","Four-Year")</f>
        <v>0</v>
      </c>
      <c r="K41" s="116">
        <f>GETPIVOTDATA("Sum of New UG E-Learning",'Pivot Table for Fact Book'!$A$3,"State","WV","type",5,"Type2","Four-Year")</f>
        <v>0</v>
      </c>
      <c r="L41" s="195">
        <f>GETPIVOTDATA("Sum of Old UG E-Learning",'Pivot Table for Fact Book'!$A$3,"State","WV","type",6,"Type2","Four-Year")</f>
        <v>29367</v>
      </c>
      <c r="M41" s="116">
        <f>GETPIVOTDATA("Sum of New UG E-Learning",'Pivot Table for Fact Book'!$A$3,"State","WV","type",6,"Type2","Four-Year")</f>
        <v>34852</v>
      </c>
      <c r="N41" s="195">
        <f>GETPIVOTDATA("Sum of Old UG E-Learning",'Pivot Table for Fact Book'!$A$3,"State","WV","type",15,"Type2","Four-Year")</f>
        <v>0</v>
      </c>
      <c r="O41" s="116">
        <f>GETPIVOTDATA("Sum of New UG E-Learning",'Pivot Table for Fact Book'!$A$3,"State","WV","type",15,"Type2","Four-Year")</f>
        <v>0</v>
      </c>
      <c r="P41" s="196">
        <f>GETPIVOTDATA("Sum of Old UG E-Learning",'Pivot Table for Fact Book'!$A$3,"State","WV","Type2","Four-Year")</f>
        <v>84264</v>
      </c>
      <c r="Q41" s="196">
        <f>GETPIVOTDATA("Sum of New UG E-Learning",'Pivot Table for Fact Book'!$A$3,"State","WV","Type2","Four-Year")</f>
        <v>96290</v>
      </c>
      <c r="R41" s="195">
        <f>GETPIVOTDATA("Sum of Old UG E-Learning",'Pivot Table for Fact Book'!$A$3,"State","WV","type",7,"Type2","Two-Year")</f>
        <v>14325</v>
      </c>
      <c r="S41" s="197">
        <f>GETPIVOTDATA("Sum of New UG E-Learning",'Pivot Table for Fact Book'!$A$3,"State","WV","type",7,"Type2","Two-Year")</f>
        <v>17432</v>
      </c>
      <c r="T41" s="197">
        <f>GETPIVOTDATA("Sum of Old UG E-Learning",'Pivot Table for Fact Book'!$A$3,"State","WV","type",8,"Type2","Two-Year")</f>
        <v>0</v>
      </c>
      <c r="U41" s="197">
        <f>GETPIVOTDATA("Sum of New UG E-Learning",'Pivot Table for Fact Book'!$A$3,"State","WV","type",8,"Type2","Two-Year")</f>
        <v>0</v>
      </c>
      <c r="V41" s="197">
        <f>GETPIVOTDATA("Sum of Old UG E-Learning",'Pivot Table for Fact Book'!$A$3,"State","WV","type",9,"Type2","Two-Year")</f>
        <v>3954</v>
      </c>
      <c r="W41" s="197">
        <f>GETPIVOTDATA("Sum of New UG E-Learning",'Pivot Table for Fact Book'!$A$3,"State","WV","type",9,"Type2","Two-Year")</f>
        <v>5336</v>
      </c>
      <c r="X41" s="197">
        <f>GETPIVOTDATA("Sum of Old UG E-Learning",'Pivot Table for Fact Book'!$A$3,"State","WV","type",10,"Type2","Two-Year")</f>
        <v>4565</v>
      </c>
      <c r="Y41" s="197">
        <f>GETPIVOTDATA("Sum of New UG E-Learning",'Pivot Table for Fact Book'!$A$3,"State","WV","type",10,"Type2","Two-Year")</f>
        <v>4925</v>
      </c>
      <c r="Z41" s="198">
        <f>GETPIVOTDATA("Sum of Old UG E-Learning",'Pivot Table for Fact Book'!$A$3,"State","WV","Type2","Two-Year")</f>
        <v>22844</v>
      </c>
      <c r="AA41" s="198">
        <f>GETPIVOTDATA("Sum of New UG E-Learning",'Pivot Table for Fact Book'!$A$3,"State","WV","Type2","Two-Year")</f>
        <v>27693</v>
      </c>
      <c r="AB41" s="195">
        <f>GETPIVOTDATA("Sum of Old UG E-Learning",'Pivot Table for Fact Book'!$A$3,"State","WV","type",12,"Type2","Technical")</f>
        <v>0</v>
      </c>
      <c r="AC41" s="197">
        <f>GETPIVOTDATA("Sum of New UG E-Learning",'Pivot Table for Fact Book'!$A$3,"State","WV","type",12,"Type2","Technical")</f>
        <v>0</v>
      </c>
      <c r="AD41" s="197">
        <f>GETPIVOTDATA("Sum of Old UG E-Learning",'Pivot Table for Fact Book'!$A$3,"State","WV","type",13,"Type2","Technical")</f>
        <v>0</v>
      </c>
      <c r="AE41" s="197">
        <f>GETPIVOTDATA("Sum of New UG E-Learning",'Pivot Table for Fact Book'!$A$3,"State","WV","type",13,"Type2","Technical")</f>
        <v>0</v>
      </c>
      <c r="AF41" s="197">
        <f>GETPIVOTDATA("Sum of Old UG E-Learning",'Pivot Table for Fact Book'!$A$3,"State","WV","type",14,"Type2","Technical")</f>
        <v>0</v>
      </c>
      <c r="AG41" s="197">
        <f>GETPIVOTDATA("Sum of New UG E-Learning",'Pivot Table for Fact Book'!$A$3,"State","WV","type",14,"Type2","Technical")</f>
        <v>0</v>
      </c>
      <c r="AH41" s="199">
        <f>GETPIVOTDATA("Sum of Old UG E-Learning",'Pivot Table for Fact Book'!$A$3,"State","WV","Type2","Technical")</f>
        <v>0</v>
      </c>
      <c r="AI41" s="199">
        <f>GETPIVOTDATA("Sum of New UG E-Learning",'Pivot Table for Fact Book'!$A$3,"State","WV","Type2","Technical")</f>
        <v>0</v>
      </c>
      <c r="AJ41" s="1"/>
    </row>
    <row r="43" spans="1:36">
      <c r="A43" s="149" t="s">
        <v>149</v>
      </c>
    </row>
    <row r="44" spans="1:36">
      <c r="B44" s="176" t="s">
        <v>144</v>
      </c>
      <c r="C44" s="172"/>
      <c r="D44" s="172"/>
      <c r="E44" s="172"/>
      <c r="F44" s="172"/>
      <c r="G44" s="172"/>
      <c r="H44" s="172"/>
      <c r="I44" s="172"/>
      <c r="J44" s="172"/>
      <c r="K44" s="172"/>
      <c r="L44" s="172"/>
      <c r="M44" s="172"/>
      <c r="N44" s="172"/>
      <c r="O44" s="172"/>
      <c r="P44" s="172"/>
      <c r="Q44" s="170"/>
      <c r="R44" s="177" t="s">
        <v>146</v>
      </c>
      <c r="S44" s="173"/>
      <c r="T44" s="173"/>
      <c r="U44" s="173"/>
      <c r="V44" s="173"/>
      <c r="W44" s="173"/>
      <c r="X44" s="173"/>
      <c r="Y44" s="173"/>
      <c r="Z44" s="173"/>
      <c r="AA44" s="171"/>
      <c r="AB44" s="178" t="s">
        <v>147</v>
      </c>
      <c r="AC44" s="174"/>
      <c r="AD44" s="174"/>
      <c r="AE44" s="174"/>
      <c r="AF44" s="174"/>
      <c r="AG44" s="174"/>
      <c r="AH44" s="174"/>
      <c r="AI44" s="174"/>
    </row>
    <row r="45" spans="1:36">
      <c r="B45" s="179">
        <v>1</v>
      </c>
      <c r="C45" s="181"/>
      <c r="D45" s="179">
        <v>2</v>
      </c>
      <c r="E45" s="181"/>
      <c r="F45" s="179">
        <v>3</v>
      </c>
      <c r="G45" s="181"/>
      <c r="H45" s="179">
        <v>4</v>
      </c>
      <c r="I45" s="181"/>
      <c r="J45" s="179">
        <v>5</v>
      </c>
      <c r="K45" s="181"/>
      <c r="L45" s="179">
        <v>6</v>
      </c>
      <c r="M45" s="181"/>
      <c r="N45" s="179">
        <v>15</v>
      </c>
      <c r="O45" s="181"/>
      <c r="P45" s="179" t="s">
        <v>145</v>
      </c>
      <c r="Q45" s="180"/>
      <c r="R45" s="189">
        <v>7</v>
      </c>
      <c r="S45" s="190"/>
      <c r="T45" s="189">
        <v>8</v>
      </c>
      <c r="U45" s="190"/>
      <c r="V45" s="189">
        <v>9</v>
      </c>
      <c r="W45" s="190"/>
      <c r="X45" s="189">
        <v>10</v>
      </c>
      <c r="Y45" s="190"/>
      <c r="Z45" s="189" t="s">
        <v>145</v>
      </c>
      <c r="AA45" s="190"/>
      <c r="AB45" s="191">
        <v>12</v>
      </c>
      <c r="AC45" s="192"/>
      <c r="AD45" s="191">
        <v>13</v>
      </c>
      <c r="AE45" s="192"/>
      <c r="AF45" s="191">
        <v>14</v>
      </c>
      <c r="AG45" s="192"/>
      <c r="AH45" s="191" t="s">
        <v>145</v>
      </c>
      <c r="AI45" s="192"/>
    </row>
    <row r="46" spans="1:36">
      <c r="B46" s="182" t="s">
        <v>143</v>
      </c>
      <c r="C46" s="183" t="s">
        <v>838</v>
      </c>
      <c r="D46" s="182" t="s">
        <v>143</v>
      </c>
      <c r="E46" s="183" t="s">
        <v>838</v>
      </c>
      <c r="F46" s="182" t="s">
        <v>143</v>
      </c>
      <c r="G46" s="183" t="s">
        <v>838</v>
      </c>
      <c r="H46" s="182" t="s">
        <v>143</v>
      </c>
      <c r="I46" s="183" t="s">
        <v>838</v>
      </c>
      <c r="J46" s="182" t="s">
        <v>143</v>
      </c>
      <c r="K46" s="183" t="s">
        <v>838</v>
      </c>
      <c r="L46" s="182" t="s">
        <v>143</v>
      </c>
      <c r="M46" s="183" t="s">
        <v>838</v>
      </c>
      <c r="N46" s="182" t="s">
        <v>143</v>
      </c>
      <c r="O46" s="183" t="s">
        <v>838</v>
      </c>
      <c r="P46" s="182" t="s">
        <v>143</v>
      </c>
      <c r="Q46" s="184" t="s">
        <v>838</v>
      </c>
      <c r="R46" s="185" t="s">
        <v>143</v>
      </c>
      <c r="S46" s="186" t="s">
        <v>838</v>
      </c>
      <c r="T46" s="185" t="s">
        <v>143</v>
      </c>
      <c r="U46" s="186" t="s">
        <v>838</v>
      </c>
      <c r="V46" s="185" t="s">
        <v>143</v>
      </c>
      <c r="W46" s="186" t="s">
        <v>838</v>
      </c>
      <c r="X46" s="185" t="s">
        <v>143</v>
      </c>
      <c r="Y46" s="186" t="s">
        <v>838</v>
      </c>
      <c r="Z46" s="185" t="s">
        <v>143</v>
      </c>
      <c r="AA46" s="193" t="s">
        <v>838</v>
      </c>
      <c r="AB46" s="187" t="s">
        <v>143</v>
      </c>
      <c r="AC46" s="188" t="s">
        <v>838</v>
      </c>
      <c r="AD46" s="187" t="s">
        <v>143</v>
      </c>
      <c r="AE46" s="188" t="s">
        <v>838</v>
      </c>
      <c r="AF46" s="187" t="s">
        <v>143</v>
      </c>
      <c r="AG46" s="188" t="s">
        <v>838</v>
      </c>
      <c r="AH46" s="187" t="s">
        <v>143</v>
      </c>
      <c r="AI46" s="194" t="s">
        <v>838</v>
      </c>
      <c r="AJ46" s="1"/>
    </row>
    <row r="47" spans="1:36">
      <c r="A47" s="175" t="s">
        <v>220</v>
      </c>
      <c r="B47" s="195">
        <f>GETPIVOTDATA("Sum of Old-Tot G SCH Calc",'Pivot Table for Fact Book'!$A$3,"State","AL","type",1,"Type2","Four-Year")</f>
        <v>211482</v>
      </c>
      <c r="C47" s="116">
        <f>GETPIVOTDATA("Sum of New-Tot G SCH Calc",'Pivot Table for Fact Book'!$A$3,"State","AL","type",1,"Type2","Four-Year")</f>
        <v>215682</v>
      </c>
      <c r="D47" s="195">
        <f>GETPIVOTDATA("Sum of Old-Tot G SCH Calc",'Pivot Table for Fact Book'!$A$3,"State","AL","type",2,"Type2","Four-Year")</f>
        <v>20696</v>
      </c>
      <c r="E47" s="116">
        <f>GETPIVOTDATA("Sum of New-Tot G SCH Calc",'Pivot Table for Fact Book'!$A$3,"State","AL","type",2,"Type2","Four-Year")</f>
        <v>21246</v>
      </c>
      <c r="F47" s="195">
        <f>GETPIVOTDATA("Sum of Old-Tot G SCH Calc",'Pivot Table for Fact Book'!$A$3,"State","AL","type",3,"Type2","Four-Year")</f>
        <v>96159</v>
      </c>
      <c r="G47" s="116">
        <f>GETPIVOTDATA("Sum of New-Tot G SCH Calc",'Pivot Table for Fact Book'!$A$3,"State","AL","type",3,"Type2","Four-Year")</f>
        <v>95672</v>
      </c>
      <c r="H47" s="195">
        <f>GETPIVOTDATA("Sum of Old-Tot G SCH Calc",'Pivot Table for Fact Book'!$A$3,"State","AL","type",4,"Type2","Four-Year")</f>
        <v>51341</v>
      </c>
      <c r="I47" s="116">
        <f>GETPIVOTDATA("Sum of New-Tot G SCH Calc",'Pivot Table for Fact Book'!$A$3,"State","AL","type",4,"Type2","Four-Year")</f>
        <v>54027</v>
      </c>
      <c r="J47" s="195">
        <f>GETPIVOTDATA("Sum of Old-Tot G SCH Calc",'Pivot Table for Fact Book'!$A$3,"State","AL","type",5,"Type2","Four-Year")</f>
        <v>29054</v>
      </c>
      <c r="K47" s="116">
        <f>GETPIVOTDATA("Sum of New-Tot G SCH Calc",'Pivot Table for Fact Book'!$A$3,"State","AL","type",5,"Type2","Four-Year")</f>
        <v>41822</v>
      </c>
      <c r="L47" s="195">
        <f>GETPIVOTDATA("Sum of Old-Tot G SCH Calc",'Pivot Table for Fact Book'!$A$3,"State","AL","type",6,"Type2","Four-Year")</f>
        <v>0</v>
      </c>
      <c r="M47" s="116">
        <f>GETPIVOTDATA("Sum of New-Tot G SCH Calc",'Pivot Table for Fact Book'!$A$3,"State","AL","type",6,"Type2","Four-Year")</f>
        <v>0</v>
      </c>
      <c r="N47" s="195">
        <f>GETPIVOTDATA("Sum of Old-Tot G SCH Calc",'Pivot Table for Fact Book'!$A$3,"State","AL","type",15,"Type2","Four-Year")</f>
        <v>0</v>
      </c>
      <c r="O47" s="116">
        <f>GETPIVOTDATA("Sum of New-Tot G SCH Calc",'Pivot Table for Fact Book'!$A$3,"State","AL","type",15,"Type2","Four-Year")</f>
        <v>0</v>
      </c>
      <c r="P47" s="196">
        <f>GETPIVOTDATA("Sum of Old-Tot G SCH Calc",'Pivot Table for Fact Book'!$A$3,"State","AL","Type2","Four-Year")</f>
        <v>408732</v>
      </c>
      <c r="Q47" s="196">
        <f>GETPIVOTDATA("Sum of New-Tot G SCH Calc",'Pivot Table for Fact Book'!$A$3,"State","AL","Type2","Four-Year")</f>
        <v>428449</v>
      </c>
      <c r="R47" s="195">
        <f>GETPIVOTDATA("Sum of Old-Tot G SCH Calc",'Pivot Table for Fact Book'!$A$3,"State","AL","type",7,"Type2","Two-Year")</f>
        <v>0</v>
      </c>
      <c r="S47" s="197">
        <f>GETPIVOTDATA("Sum of New-Tot G SCH Calc",'Pivot Table for Fact Book'!$A$3,"State","AL","type",7,"Type2","Two-Year")</f>
        <v>0</v>
      </c>
      <c r="T47" s="197">
        <f>GETPIVOTDATA("Sum of Old-Tot G SCH Calc",'Pivot Table for Fact Book'!$A$3,"State","AL","type",8,"Type2","Two-Year")</f>
        <v>0</v>
      </c>
      <c r="U47" s="197">
        <f>GETPIVOTDATA("Sum of New-Tot G SCH Calc",'Pivot Table for Fact Book'!$A$3,"State","AL","type",8,"Type2","Two-Year")</f>
        <v>0</v>
      </c>
      <c r="V47" s="197">
        <f>GETPIVOTDATA("Sum of Old-Tot G SCH Calc",'Pivot Table for Fact Book'!$A$3,"State","AL","type",9,"Type2","Two-Year")</f>
        <v>0</v>
      </c>
      <c r="W47" s="197">
        <f>GETPIVOTDATA("Sum of New-Tot G SCH Calc",'Pivot Table for Fact Book'!$A$3,"State","AL","type",9,"Type2","Two-Year")</f>
        <v>0</v>
      </c>
      <c r="X47" s="197">
        <f>GETPIVOTDATA("Sum of Old-Tot G SCH Calc",'Pivot Table for Fact Book'!$A$3,"State","AL","type",10,"Type2","Two-Year")</f>
        <v>0</v>
      </c>
      <c r="Y47" s="197">
        <f>GETPIVOTDATA("Sum of New-Tot G SCH Calc",'Pivot Table for Fact Book'!$A$3,"State","AL","type",10,"Type2","Two-Year")</f>
        <v>0</v>
      </c>
      <c r="Z47" s="198">
        <f>GETPIVOTDATA("Sum of Old-Tot G SCH Calc",'Pivot Table for Fact Book'!$A$3,"State","AL","Type2","Two-Year")</f>
        <v>0</v>
      </c>
      <c r="AA47" s="198">
        <f>GETPIVOTDATA("Sum of New-Tot G SCH Calc",'Pivot Table for Fact Book'!$A$3,"State","AL","Type2","Two-Year")</f>
        <v>0</v>
      </c>
      <c r="AB47" s="195">
        <f>GETPIVOTDATA("Sum of Old-Tot G SCH Calc",'Pivot Table for Fact Book'!$A$3,"State","AL","type",12,"Type2","Technical")</f>
        <v>0</v>
      </c>
      <c r="AC47" s="197">
        <f>GETPIVOTDATA("Sum of New-Tot G SCH Calc",'Pivot Table for Fact Book'!$A$3,"State","AL","type",12,"Type2","Technical")</f>
        <v>0</v>
      </c>
      <c r="AD47" s="197">
        <f>GETPIVOTDATA("Sum of Old-Tot G SCH Calc",'Pivot Table for Fact Book'!$A$3,"State","AL","type",13,"Type2","Technical")</f>
        <v>0</v>
      </c>
      <c r="AE47" s="197">
        <f>GETPIVOTDATA("Sum of New-Tot G SCH Calc",'Pivot Table for Fact Book'!$A$3,"State","AL","type",13,"Type2","Technical")</f>
        <v>0</v>
      </c>
      <c r="AF47" s="197">
        <f>GETPIVOTDATA("Sum of Old-Tot G SCH Calc",'Pivot Table for Fact Book'!$A$3,"State","AL","type",14,"Type2","Technical")</f>
        <v>0</v>
      </c>
      <c r="AG47" s="197">
        <f>GETPIVOTDATA("Sum of New-Tot G SCH Calc",'Pivot Table for Fact Book'!$A$3,"State","AL","type",14,"Type2","Technical")</f>
        <v>0</v>
      </c>
      <c r="AH47" s="199">
        <f>GETPIVOTDATA("Sum of Old-Tot G SCH Calc",'Pivot Table for Fact Book'!$A$3,"State","AL","Type2","Technical")</f>
        <v>0</v>
      </c>
      <c r="AI47" s="199">
        <f>GETPIVOTDATA("Sum of New-Tot G SCH Calc",'Pivot Table for Fact Book'!$A$3,"State","AL","Type2","Technical")</f>
        <v>0</v>
      </c>
      <c r="AJ47" s="1"/>
    </row>
    <row r="48" spans="1:36">
      <c r="A48" s="175" t="s">
        <v>221</v>
      </c>
      <c r="B48" s="195">
        <f>GETPIVOTDATA("Sum of Old-Tot G SCH Calc",'Pivot Table for Fact Book'!$A$3,"State","AR","type",1,"Type2","Four-Year")</f>
        <v>68212</v>
      </c>
      <c r="C48" s="116">
        <f>GETPIVOTDATA("Sum of New-Tot G SCH Calc",'Pivot Table for Fact Book'!$A$3,"State","AR","type",1,"Type2","Four-Year")</f>
        <v>69769</v>
      </c>
      <c r="D48" s="195">
        <f>GETPIVOTDATA("Sum of Old-Tot G SCH Calc",'Pivot Table for Fact Book'!$A$3,"State","AR","type",2,"Type2","Four-Year")</f>
        <v>0</v>
      </c>
      <c r="E48" s="116">
        <f>GETPIVOTDATA("Sum of New-Tot G SCH Calc",'Pivot Table for Fact Book'!$A$3,"State","AR","type",2,"Type2","Four-Year")</f>
        <v>0</v>
      </c>
      <c r="F48" s="195">
        <f>GETPIVOTDATA("Sum of Old-Tot G SCH Calc",'Pivot Table for Fact Book'!$A$3,"State","AR","type",3,"Type2","Four-Year")</f>
        <v>107245</v>
      </c>
      <c r="G48" s="116">
        <f>GETPIVOTDATA("Sum of New-Tot G SCH Calc",'Pivot Table for Fact Book'!$A$3,"State","AR","type",3,"Type2","Four-Year")</f>
        <v>112811</v>
      </c>
      <c r="H48" s="195">
        <f>GETPIVOTDATA("Sum of Old-Tot G SCH Calc",'Pivot Table for Fact Book'!$A$3,"State","AR","type",4,"Type2","Four-Year")</f>
        <v>21470</v>
      </c>
      <c r="I48" s="116">
        <f>GETPIVOTDATA("Sum of New-Tot G SCH Calc",'Pivot Table for Fact Book'!$A$3,"State","AR","type",4,"Type2","Four-Year")</f>
        <v>20987</v>
      </c>
      <c r="J48" s="195">
        <f>GETPIVOTDATA("Sum of Old-Tot G SCH Calc",'Pivot Table for Fact Book'!$A$3,"State","AR","type",5,"Type2","Four-Year")</f>
        <v>7995</v>
      </c>
      <c r="K48" s="116">
        <f>GETPIVOTDATA("Sum of New-Tot G SCH Calc",'Pivot Table for Fact Book'!$A$3,"State","AR","type",5,"Type2","Four-Year")</f>
        <v>9625</v>
      </c>
      <c r="L48" s="195">
        <f>GETPIVOTDATA("Sum of Old-Tot G SCH Calc",'Pivot Table for Fact Book'!$A$3,"State","AR","type",6,"Type2","Four-Year")</f>
        <v>1517</v>
      </c>
      <c r="M48" s="116">
        <f>GETPIVOTDATA("Sum of New-Tot G SCH Calc",'Pivot Table for Fact Book'!$A$3,"State","AR","type",6,"Type2","Four-Year")</f>
        <v>2046</v>
      </c>
      <c r="N48" s="195">
        <f>GETPIVOTDATA("Sum of Old-Tot G SCH Calc",'Pivot Table for Fact Book'!$A$3,"State","AR","type",15,"Type2","Four-Year")</f>
        <v>0</v>
      </c>
      <c r="O48" s="116">
        <f>GETPIVOTDATA("Sum of New-Tot G SCH Calc",'Pivot Table for Fact Book'!$A$3,"State","AR","type",15,"Type2","Four-Year")</f>
        <v>0</v>
      </c>
      <c r="P48" s="196">
        <f>GETPIVOTDATA("Sum of Old-Tot G SCH Calc",'Pivot Table for Fact Book'!$A$3,"State","AR","Type2","Four-Year")</f>
        <v>206439</v>
      </c>
      <c r="Q48" s="196">
        <f>GETPIVOTDATA("Sum of New-Tot G SCH Calc",'Pivot Table for Fact Book'!$A$3,"State","AR","Type2","Four-Year")</f>
        <v>215238</v>
      </c>
      <c r="R48" s="195">
        <f>GETPIVOTDATA("Sum of Old-Tot G SCH Calc",'Pivot Table for Fact Book'!$A$3,"State","AR","type",7,"Type2","Two-Year")</f>
        <v>0</v>
      </c>
      <c r="S48" s="197">
        <f>GETPIVOTDATA("Sum of New-Tot G SCH Calc",'Pivot Table for Fact Book'!$A$3,"State","AR","type",7,"Type2","Two-Year")</f>
        <v>0</v>
      </c>
      <c r="T48" s="197">
        <f>GETPIVOTDATA("Sum of Old-Tot G SCH Calc",'Pivot Table for Fact Book'!$A$3,"State","AR","type",8,"Type2","Two-Year")</f>
        <v>0</v>
      </c>
      <c r="U48" s="197">
        <f>GETPIVOTDATA("Sum of New-Tot G SCH Calc",'Pivot Table for Fact Book'!$A$3,"State","AR","type",8,"Type2","Two-Year")</f>
        <v>0</v>
      </c>
      <c r="V48" s="197">
        <f>GETPIVOTDATA("Sum of Old-Tot G SCH Calc",'Pivot Table for Fact Book'!$A$3,"State","AR","type",9,"Type2","Two-Year")</f>
        <v>0</v>
      </c>
      <c r="W48" s="197">
        <f>GETPIVOTDATA("Sum of New-Tot G SCH Calc",'Pivot Table for Fact Book'!$A$3,"State","AR","type",9,"Type2","Two-Year")</f>
        <v>0</v>
      </c>
      <c r="X48" s="197">
        <f>GETPIVOTDATA("Sum of Old-Tot G SCH Calc",'Pivot Table for Fact Book'!$A$3,"State","AR","type",10,"Type2","Two-Year")</f>
        <v>0</v>
      </c>
      <c r="Y48" s="197">
        <f>GETPIVOTDATA("Sum of New-Tot G SCH Calc",'Pivot Table for Fact Book'!$A$3,"State","AR","type",10,"Type2","Two-Year")</f>
        <v>0</v>
      </c>
      <c r="Z48" s="198">
        <f>GETPIVOTDATA("Sum of Old-Tot G SCH Calc",'Pivot Table for Fact Book'!$A$3,"State","AR","Type2","Two-Year")</f>
        <v>0</v>
      </c>
      <c r="AA48" s="198">
        <f>GETPIVOTDATA("Sum of New-Tot G SCH Calc",'Pivot Table for Fact Book'!$A$3,"State","AR","Type2","Two-Year")</f>
        <v>0</v>
      </c>
      <c r="AB48" s="195">
        <f>GETPIVOTDATA("Sum of Old-Tot G SCH Calc",'Pivot Table for Fact Book'!$A$3,"State","AR","type",12,"Type2","Technical")</f>
        <v>0</v>
      </c>
      <c r="AC48" s="197">
        <f>GETPIVOTDATA("Sum of New-Tot G SCH Calc",'Pivot Table for Fact Book'!$A$3,"State","AR","type",12,"Type2","Technical")</f>
        <v>0</v>
      </c>
      <c r="AD48" s="197">
        <f>GETPIVOTDATA("Sum of Old-Tot G SCH Calc",'Pivot Table for Fact Book'!$A$3,"State","AR","type",13,"Type2","Technical")</f>
        <v>0</v>
      </c>
      <c r="AE48" s="197">
        <f>GETPIVOTDATA("Sum of New-Tot G SCH Calc",'Pivot Table for Fact Book'!$A$3,"State","AR","type",13,"Type2","Technical")</f>
        <v>0</v>
      </c>
      <c r="AF48" s="197">
        <f>GETPIVOTDATA("Sum of Old-Tot G SCH Calc",'Pivot Table for Fact Book'!$A$3,"State","AR","type",14,"Type2","Technical")</f>
        <v>0</v>
      </c>
      <c r="AG48" s="197">
        <f>GETPIVOTDATA("Sum of New-Tot G SCH Calc",'Pivot Table for Fact Book'!$A$3,"State","AR","type",14,"Type2","Technical")</f>
        <v>0</v>
      </c>
      <c r="AH48" s="199">
        <f>GETPIVOTDATA("Sum of Old-Tot G SCH Calc",'Pivot Table for Fact Book'!$A$3,"State","AR","Type2","Technical")</f>
        <v>0</v>
      </c>
      <c r="AI48" s="199">
        <f>GETPIVOTDATA("Sum of New-Tot G SCH Calc",'Pivot Table for Fact Book'!$A$3,"State","AR","Type2","Technical")</f>
        <v>0</v>
      </c>
      <c r="AJ48" s="1"/>
    </row>
    <row r="49" spans="1:36">
      <c r="A49" s="175" t="s">
        <v>222</v>
      </c>
      <c r="B49" s="195">
        <f>GETPIVOTDATA("Sum of Old-Tot G SCH Calc",'Pivot Table for Fact Book'!$A$3,"State","DE","type",1,"Type2","Four-Year")</f>
        <v>48994</v>
      </c>
      <c r="C49" s="116">
        <f>GETPIVOTDATA("Sum of New-Tot G SCH Calc",'Pivot Table for Fact Book'!$A$3,"State","DE","type",1,"Type2","Four-Year")</f>
        <v>49635</v>
      </c>
      <c r="D49" s="195">
        <f>GETPIVOTDATA("Sum of Old-Tot G SCH Calc",'Pivot Table for Fact Book'!$A$3,"State","DE","type",2,"Type2","Four-Year")</f>
        <v>0</v>
      </c>
      <c r="E49" s="116">
        <f>GETPIVOTDATA("Sum of New-Tot G SCH Calc",'Pivot Table for Fact Book'!$A$3,"State","DE","type",2,"Type2","Four-Year")</f>
        <v>0</v>
      </c>
      <c r="F49" s="195">
        <f>GETPIVOTDATA("Sum of Old-Tot G SCH Calc",'Pivot Table for Fact Book'!$A$3,"State","DE","type",3,"Type2","Four-Year")</f>
        <v>0</v>
      </c>
      <c r="G49" s="116">
        <f>GETPIVOTDATA("Sum of New-Tot G SCH Calc",'Pivot Table for Fact Book'!$A$3,"State","DE","type",3,"Type2","Four-Year")</f>
        <v>0</v>
      </c>
      <c r="H49" s="195">
        <f>GETPIVOTDATA("Sum of Old-Tot G SCH Calc",'Pivot Table for Fact Book'!$A$3,"State","DE","type",4,"Type2","Four-Year")</f>
        <v>0</v>
      </c>
      <c r="I49" s="116">
        <f>GETPIVOTDATA("Sum of New-Tot G SCH Calc",'Pivot Table for Fact Book'!$A$3,"State","DE","type",4,"Type2","Four-Year")</f>
        <v>7075</v>
      </c>
      <c r="J49" s="195">
        <f>GETPIVOTDATA("Sum of Old-Tot G SCH Calc",'Pivot Table for Fact Book'!$A$3,"State","DE","type",5,"Type2","Four-Year")</f>
        <v>0</v>
      </c>
      <c r="K49" s="116">
        <f>GETPIVOTDATA("Sum of New-Tot G SCH Calc",'Pivot Table for Fact Book'!$A$3,"State","DE","type",5,"Type2","Four-Year")</f>
        <v>0</v>
      </c>
      <c r="L49" s="195">
        <f>GETPIVOTDATA("Sum of Old-Tot G SCH Calc",'Pivot Table for Fact Book'!$A$3,"State","DE","type",6,"Type2","Four-Year")</f>
        <v>0</v>
      </c>
      <c r="M49" s="116">
        <f>GETPIVOTDATA("Sum of New-Tot G SCH Calc",'Pivot Table for Fact Book'!$A$3,"State","DE","type",6,"Type2","Four-Year")</f>
        <v>0</v>
      </c>
      <c r="N49" s="195">
        <f>GETPIVOTDATA("Sum of Old-Tot G SCH Calc",'Pivot Table for Fact Book'!$A$3,"State","DE","type",15,"Type2","Four-Year")</f>
        <v>0</v>
      </c>
      <c r="O49" s="116">
        <f>GETPIVOTDATA("Sum of New-Tot G SCH Calc",'Pivot Table for Fact Book'!$A$3,"State","DE","type",15,"Type2","Four-Year")</f>
        <v>0</v>
      </c>
      <c r="P49" s="196">
        <f>GETPIVOTDATA("Sum of Old-Tot G SCH Calc",'Pivot Table for Fact Book'!$A$3,"State","DE","Type2","Four-Year")</f>
        <v>48994</v>
      </c>
      <c r="Q49" s="196">
        <f>GETPIVOTDATA("Sum of New-Tot G SCH Calc",'Pivot Table for Fact Book'!$A$3,"State","DE","Type2","Four-Year")</f>
        <v>56710</v>
      </c>
      <c r="R49" s="195">
        <f>GETPIVOTDATA("Sum of Old-Tot G SCH Calc",'Pivot Table for Fact Book'!$A$3,"State","DE","type",7,"Type2","Two-Year")</f>
        <v>0</v>
      </c>
      <c r="S49" s="197">
        <f>GETPIVOTDATA("Sum of New-Tot G SCH Calc",'Pivot Table for Fact Book'!$A$3,"State","DE","type",7,"Type2","Two-Year")</f>
        <v>0</v>
      </c>
      <c r="T49" s="197">
        <f>GETPIVOTDATA("Sum of Old-Tot G SCH Calc",'Pivot Table for Fact Book'!$A$3,"State","DE","type",8,"Type2","Two-Year")</f>
        <v>0</v>
      </c>
      <c r="U49" s="197">
        <f>GETPIVOTDATA("Sum of New-Tot G SCH Calc",'Pivot Table for Fact Book'!$A$3,"State","DE","type",8,"Type2","Two-Year")</f>
        <v>0</v>
      </c>
      <c r="V49" s="197">
        <f>GETPIVOTDATA("Sum of Old-Tot G SCH Calc",'Pivot Table for Fact Book'!$A$3,"State","DE","type",9,"Type2","Two-Year")</f>
        <v>0</v>
      </c>
      <c r="W49" s="197">
        <f>GETPIVOTDATA("Sum of New-Tot G SCH Calc",'Pivot Table for Fact Book'!$A$3,"State","DE","type",9,"Type2","Two-Year")</f>
        <v>0</v>
      </c>
      <c r="X49" s="197">
        <f>GETPIVOTDATA("Sum of Old-Tot G SCH Calc",'Pivot Table for Fact Book'!$A$3,"State","DE","type",10,"Type2","Two-Year")</f>
        <v>0</v>
      </c>
      <c r="Y49" s="197">
        <f>GETPIVOTDATA("Sum of New-Tot G SCH Calc",'Pivot Table for Fact Book'!$A$3,"State","DE","type",10,"Type2","Two-Year")</f>
        <v>0</v>
      </c>
      <c r="Z49" s="198">
        <f>GETPIVOTDATA("Sum of Old-Tot G SCH Calc",'Pivot Table for Fact Book'!$A$3,"State","DE","Type2","Two-Year")</f>
        <v>0</v>
      </c>
      <c r="AA49" s="198">
        <f>GETPIVOTDATA("Sum of New-Tot G SCH Calc",'Pivot Table for Fact Book'!$A$3,"State","DE","Type2","Two-Year")</f>
        <v>0</v>
      </c>
      <c r="AB49" s="195">
        <f>GETPIVOTDATA("Sum of Old-Tot G SCH Calc",'Pivot Table for Fact Book'!$A$3,"State","DE","type",12,"Type2","Technical")</f>
        <v>0</v>
      </c>
      <c r="AC49" s="197">
        <f>GETPIVOTDATA("Sum of New-Tot G SCH Calc",'Pivot Table for Fact Book'!$A$3,"State","DE","type",12,"Type2","Technical")</f>
        <v>0</v>
      </c>
      <c r="AD49" s="197">
        <f>GETPIVOTDATA("Sum of Old-Tot G SCH Calc",'Pivot Table for Fact Book'!$A$3,"State","DE","type",13,"Type2","Technical")</f>
        <v>0</v>
      </c>
      <c r="AE49" s="197">
        <f>GETPIVOTDATA("Sum of New-Tot G SCH Calc",'Pivot Table for Fact Book'!$A$3,"State","DE","type",13,"Type2","Technical")</f>
        <v>0</v>
      </c>
      <c r="AF49" s="197">
        <f>GETPIVOTDATA("Sum of Old-Tot G SCH Calc",'Pivot Table for Fact Book'!$A$3,"State","DE","type",14,"Type2","Technical")</f>
        <v>0</v>
      </c>
      <c r="AG49" s="197">
        <f>GETPIVOTDATA("Sum of New-Tot G SCH Calc",'Pivot Table for Fact Book'!$A$3,"State","DE","type",14,"Type2","Technical")</f>
        <v>0</v>
      </c>
      <c r="AH49" s="199">
        <f>GETPIVOTDATA("Sum of Old-Tot G SCH Calc",'Pivot Table for Fact Book'!$A$3,"State","DE","Type2","Technical")</f>
        <v>0</v>
      </c>
      <c r="AI49" s="199">
        <f>GETPIVOTDATA("Sum of New-Tot G SCH Calc",'Pivot Table for Fact Book'!$A$3,"State","DE","Type2","Technical")</f>
        <v>0</v>
      </c>
      <c r="AJ49" s="1"/>
    </row>
    <row r="50" spans="1:36">
      <c r="A50" s="175" t="s">
        <v>223</v>
      </c>
      <c r="B50" s="195">
        <f>GETPIVOTDATA("Sum of Old-Tot G SCH Calc",'Pivot Table for Fact Book'!$A$3,"State","FL","type",1,"Type2","Four-Year")</f>
        <v>752808</v>
      </c>
      <c r="C50" s="116">
        <f>GETPIVOTDATA("Sum of New-Tot G SCH Calc",'Pivot Table for Fact Book'!$A$3,"State","FL","type",1,"Type2","Four-Year")</f>
        <v>768688</v>
      </c>
      <c r="D50" s="195">
        <f>GETPIVOTDATA("Sum of Old-Tot G SCH Calc",'Pivot Table for Fact Book'!$A$3,"State","FL","type",2,"Type2","Four-Year")</f>
        <v>197755</v>
      </c>
      <c r="E50" s="116">
        <f>GETPIVOTDATA("Sum of New-Tot G SCH Calc",'Pivot Table for Fact Book'!$A$3,"State","FL","type",2,"Type2","Four-Year")</f>
        <v>192532</v>
      </c>
      <c r="F50" s="195">
        <f>GETPIVOTDATA("Sum of Old-Tot G SCH Calc",'Pivot Table for Fact Book'!$A$3,"State","FL","type",3,"Type2","Four-Year")</f>
        <v>96181.5</v>
      </c>
      <c r="G50" s="116">
        <f>GETPIVOTDATA("Sum of New-Tot G SCH Calc",'Pivot Table for Fact Book'!$A$3,"State","FL","type",3,"Type2","Four-Year")</f>
        <v>101481</v>
      </c>
      <c r="H50" s="195">
        <f>GETPIVOTDATA("Sum of Old-Tot G SCH Calc",'Pivot Table for Fact Book'!$A$3,"State","FL","type",4,"Type2","Four-Year")</f>
        <v>15997</v>
      </c>
      <c r="I50" s="116">
        <f>GETPIVOTDATA("Sum of New-Tot G SCH Calc",'Pivot Table for Fact Book'!$A$3,"State","FL","type",4,"Type2","Four-Year")</f>
        <v>18840</v>
      </c>
      <c r="J50" s="195">
        <f>GETPIVOTDATA("Sum of Old-Tot G SCH Calc",'Pivot Table for Fact Book'!$A$3,"State","FL","type",5,"Type2","Four-Year")</f>
        <v>0</v>
      </c>
      <c r="K50" s="116">
        <f>GETPIVOTDATA("Sum of New-Tot G SCH Calc",'Pivot Table for Fact Book'!$A$3,"State","FL","type",5,"Type2","Four-Year")</f>
        <v>0</v>
      </c>
      <c r="L50" s="195">
        <f>GETPIVOTDATA("Sum of Old-Tot G SCH Calc",'Pivot Table for Fact Book'!$A$3,"State","FL","type",6,"Type2","Four-Year")</f>
        <v>0</v>
      </c>
      <c r="M50" s="116">
        <f>GETPIVOTDATA("Sum of New-Tot G SCH Calc",'Pivot Table for Fact Book'!$A$3,"State","FL","type",6,"Type2","Four-Year")</f>
        <v>0</v>
      </c>
      <c r="N50" s="195">
        <f>GETPIVOTDATA("Sum of Old-Tot G SCH Calc",'Pivot Table for Fact Book'!$A$3,"State","FL","type",15,"Type2","Four-Year")</f>
        <v>0</v>
      </c>
      <c r="O50" s="116">
        <f>GETPIVOTDATA("Sum of New-Tot G SCH Calc",'Pivot Table for Fact Book'!$A$3,"State","FL","type",15,"Type2","Four-Year")</f>
        <v>0</v>
      </c>
      <c r="P50" s="196">
        <f>GETPIVOTDATA("Sum of Old-Tot G SCH Calc",'Pivot Table for Fact Book'!$A$3,"State","FL","Type2","Four-Year")</f>
        <v>1062741.5</v>
      </c>
      <c r="Q50" s="196">
        <f>GETPIVOTDATA("Sum of New-Tot G SCH Calc",'Pivot Table for Fact Book'!$A$3,"State","FL","Type2","Four-Year")</f>
        <v>1081541</v>
      </c>
      <c r="R50" s="195">
        <f>GETPIVOTDATA("Sum of Old-Tot G SCH Calc",'Pivot Table for Fact Book'!$A$3,"State","FL","type",7,"Type2","Two-Year")</f>
        <v>0</v>
      </c>
      <c r="S50" s="197">
        <f>GETPIVOTDATA("Sum of New-Tot G SCH Calc",'Pivot Table for Fact Book'!$A$3,"State","FL","type",7,"Type2","Two-Year")</f>
        <v>0</v>
      </c>
      <c r="T50" s="197">
        <f>GETPIVOTDATA("Sum of Old-Tot G SCH Calc",'Pivot Table for Fact Book'!$A$3,"State","FL","type",8,"Type2","Two-Year")</f>
        <v>0</v>
      </c>
      <c r="U50" s="197">
        <f>GETPIVOTDATA("Sum of New-Tot G SCH Calc",'Pivot Table for Fact Book'!$A$3,"State","FL","type",8,"Type2","Two-Year")</f>
        <v>0</v>
      </c>
      <c r="V50" s="197">
        <f>GETPIVOTDATA("Sum of Old-Tot G SCH Calc",'Pivot Table for Fact Book'!$A$3,"State","FL","type",9,"Type2","Two-Year")</f>
        <v>0</v>
      </c>
      <c r="W50" s="197">
        <f>GETPIVOTDATA("Sum of New-Tot G SCH Calc",'Pivot Table for Fact Book'!$A$3,"State","FL","type",9,"Type2","Two-Year")</f>
        <v>0</v>
      </c>
      <c r="X50" s="197">
        <f>GETPIVOTDATA("Sum of Old-Tot G SCH Calc",'Pivot Table for Fact Book'!$A$3,"State","FL","type",10,"Type2","Two-Year")</f>
        <v>0</v>
      </c>
      <c r="Y50" s="197">
        <f>GETPIVOTDATA("Sum of New-Tot G SCH Calc",'Pivot Table for Fact Book'!$A$3,"State","FL","type",10,"Type2","Two-Year")</f>
        <v>0</v>
      </c>
      <c r="Z50" s="198">
        <f>GETPIVOTDATA("Sum of Old-Tot G SCH Calc",'Pivot Table for Fact Book'!$A$3,"State","FL","Type2","Two-Year")</f>
        <v>0</v>
      </c>
      <c r="AA50" s="198">
        <f>GETPIVOTDATA("Sum of New-Tot G SCH Calc",'Pivot Table for Fact Book'!$A$3,"State","FL","Type2","Two-Year")</f>
        <v>0</v>
      </c>
      <c r="AB50" s="195">
        <f>GETPIVOTDATA("Sum of Old-Tot G SCH Calc",'Pivot Table for Fact Book'!$A$3,"State","FL","type",12,"Type2","Technical")</f>
        <v>0</v>
      </c>
      <c r="AC50" s="197">
        <f>GETPIVOTDATA("Sum of New-Tot G SCH Calc",'Pivot Table for Fact Book'!$A$3,"State","FL","type",12,"Type2","Technical")</f>
        <v>0</v>
      </c>
      <c r="AD50" s="197">
        <f>GETPIVOTDATA("Sum of Old-Tot G SCH Calc",'Pivot Table for Fact Book'!$A$3,"State","FL","type",13,"Type2","Technical")</f>
        <v>0</v>
      </c>
      <c r="AE50" s="197">
        <f>GETPIVOTDATA("Sum of New-Tot G SCH Calc",'Pivot Table for Fact Book'!$A$3,"State","FL","type",13,"Type2","Technical")</f>
        <v>0</v>
      </c>
      <c r="AF50" s="197">
        <f>GETPIVOTDATA("Sum of Old-Tot G SCH Calc",'Pivot Table for Fact Book'!$A$3,"State","FL","type",14,"Type2","Technical")</f>
        <v>0</v>
      </c>
      <c r="AG50" s="197">
        <f>GETPIVOTDATA("Sum of New-Tot G SCH Calc",'Pivot Table for Fact Book'!$A$3,"State","FL","type",14,"Type2","Technical")</f>
        <v>0</v>
      </c>
      <c r="AH50" s="199">
        <f>GETPIVOTDATA("Sum of Old-Tot G SCH Calc",'Pivot Table for Fact Book'!$A$3,"State","FL","Type2","Technical")</f>
        <v>0</v>
      </c>
      <c r="AI50" s="199">
        <f>GETPIVOTDATA("Sum of New-Tot G SCH Calc",'Pivot Table for Fact Book'!$A$3,"State","FL","Type2","Technical")</f>
        <v>0</v>
      </c>
      <c r="AJ50" s="1"/>
    </row>
    <row r="51" spans="1:36">
      <c r="A51" s="175" t="s">
        <v>224</v>
      </c>
      <c r="B51" s="195">
        <f>GETPIVOTDATA("Sum of Old-Tot G SCH Calc",'Pivot Table for Fact Book'!$A$3,"State","GA","type",1,"Type2","Four-Year")</f>
        <v>417083.1</v>
      </c>
      <c r="C51" s="116">
        <f>GETPIVOTDATA("Sum of New-Tot G SCH Calc",'Pivot Table for Fact Book'!$A$3,"State","GA","type",1,"Type2","Four-Year")</f>
        <v>433200.4</v>
      </c>
      <c r="D51" s="195">
        <f>GETPIVOTDATA("Sum of Old-Tot G SCH Calc",'Pivot Table for Fact Book'!$A$3,"State","GA","type",2,"Type2","Four-Year")</f>
        <v>209401</v>
      </c>
      <c r="E51" s="116">
        <f>GETPIVOTDATA("Sum of New-Tot G SCH Calc",'Pivot Table for Fact Book'!$A$3,"State","GA","type",2,"Type2","Four-Year")</f>
        <v>217693</v>
      </c>
      <c r="F51" s="195">
        <f>GETPIVOTDATA("Sum of Old-Tot G SCH Calc",'Pivot Table for Fact Book'!$A$3,"State","GA","type",3,"Type2","Four-Year")</f>
        <v>84223</v>
      </c>
      <c r="G51" s="116">
        <f>GETPIVOTDATA("Sum of New-Tot G SCH Calc",'Pivot Table for Fact Book'!$A$3,"State","GA","type",3,"Type2","Four-Year")</f>
        <v>97632</v>
      </c>
      <c r="H51" s="195">
        <f>GETPIVOTDATA("Sum of Old-Tot G SCH Calc",'Pivot Table for Fact Book'!$A$3,"State","GA","type",4,"Type2","Four-Year")</f>
        <v>93512</v>
      </c>
      <c r="I51" s="116">
        <f>GETPIVOTDATA("Sum of New-Tot G SCH Calc",'Pivot Table for Fact Book'!$A$3,"State","GA","type",4,"Type2","Four-Year")</f>
        <v>98234</v>
      </c>
      <c r="J51" s="195">
        <f>GETPIVOTDATA("Sum of Old-Tot G SCH Calc",'Pivot Table for Fact Book'!$A$3,"State","GA","type",5,"Type2","Four-Year")</f>
        <v>34130</v>
      </c>
      <c r="K51" s="116">
        <f>GETPIVOTDATA("Sum of New-Tot G SCH Calc",'Pivot Table for Fact Book'!$A$3,"State","GA","type",5,"Type2","Four-Year")</f>
        <v>38977</v>
      </c>
      <c r="L51" s="195">
        <f>GETPIVOTDATA("Sum of Old-Tot G SCH Calc",'Pivot Table for Fact Book'!$A$3,"State","GA","type",6,"Type2","Four-Year")</f>
        <v>630</v>
      </c>
      <c r="M51" s="116">
        <f>GETPIVOTDATA("Sum of New-Tot G SCH Calc",'Pivot Table for Fact Book'!$A$3,"State","GA","type",6,"Type2","Four-Year")</f>
        <v>2170</v>
      </c>
      <c r="N51" s="195">
        <f>GETPIVOTDATA("Sum of Old-Tot G SCH Calc",'Pivot Table for Fact Book'!$A$3,"State","GA","type",15,"Type2","Four-Year")</f>
        <v>0</v>
      </c>
      <c r="O51" s="116">
        <f>GETPIVOTDATA("Sum of New-Tot G SCH Calc",'Pivot Table for Fact Book'!$A$3,"State","GA","type",15,"Type2","Four-Year")</f>
        <v>0</v>
      </c>
      <c r="P51" s="196">
        <f>GETPIVOTDATA("Sum of Old-Tot G SCH Calc",'Pivot Table for Fact Book'!$A$3,"State","GA","Type2","Four-Year")</f>
        <v>838979.1</v>
      </c>
      <c r="Q51" s="196">
        <f>GETPIVOTDATA("Sum of New-Tot G SCH Calc",'Pivot Table for Fact Book'!$A$3,"State","GA","Type2","Four-Year")</f>
        <v>887906.4</v>
      </c>
      <c r="R51" s="195">
        <f>GETPIVOTDATA("Sum of Old-Tot G SCH Calc",'Pivot Table for Fact Book'!$A$3,"State","GA","type",7,"Type2","Two-Year")</f>
        <v>0</v>
      </c>
      <c r="S51" s="197">
        <f>GETPIVOTDATA("Sum of New-Tot G SCH Calc",'Pivot Table for Fact Book'!$A$3,"State","GA","type",7,"Type2","Two-Year")</f>
        <v>0</v>
      </c>
      <c r="T51" s="197">
        <f>GETPIVOTDATA("Sum of Old-Tot G SCH Calc",'Pivot Table for Fact Book'!$A$3,"State","GA","type",8,"Type2","Two-Year")</f>
        <v>0</v>
      </c>
      <c r="U51" s="197">
        <f>GETPIVOTDATA("Sum of New-Tot G SCH Calc",'Pivot Table for Fact Book'!$A$3,"State","GA","type",8,"Type2","Two-Year")</f>
        <v>0</v>
      </c>
      <c r="V51" s="197">
        <f>GETPIVOTDATA("Sum of Old-Tot G SCH Calc",'Pivot Table for Fact Book'!$A$3,"State","GA","type",9,"Type2","Two-Year")</f>
        <v>0</v>
      </c>
      <c r="W51" s="197">
        <f>GETPIVOTDATA("Sum of New-Tot G SCH Calc",'Pivot Table for Fact Book'!$A$3,"State","GA","type",9,"Type2","Two-Year")</f>
        <v>0</v>
      </c>
      <c r="X51" s="197">
        <f>GETPIVOTDATA("Sum of Old-Tot G SCH Calc",'Pivot Table for Fact Book'!$A$3,"State","GA","type",10,"Type2","Two-Year")</f>
        <v>0</v>
      </c>
      <c r="Y51" s="197">
        <f>GETPIVOTDATA("Sum of New-Tot G SCH Calc",'Pivot Table for Fact Book'!$A$3,"State","GA","type",10,"Type2","Two-Year")</f>
        <v>0</v>
      </c>
      <c r="Z51" s="198">
        <f>GETPIVOTDATA("Sum of Old-Tot G SCH Calc",'Pivot Table for Fact Book'!$A$3,"State","GA","Type2","Two-Year")</f>
        <v>0</v>
      </c>
      <c r="AA51" s="198">
        <f>GETPIVOTDATA("Sum of New-Tot G SCH Calc",'Pivot Table for Fact Book'!$A$3,"State","GA","Type2","Two-Year")</f>
        <v>0</v>
      </c>
      <c r="AB51" s="195">
        <f>GETPIVOTDATA("Sum of Old-Tot G SCH Calc",'Pivot Table for Fact Book'!$A$3,"State","GA","type",12,"Type2","Technical")</f>
        <v>0</v>
      </c>
      <c r="AC51" s="197">
        <f>GETPIVOTDATA("Sum of New-Tot G SCH Calc",'Pivot Table for Fact Book'!$A$3,"State","GA","type",12,"Type2","Technical")</f>
        <v>0</v>
      </c>
      <c r="AD51" s="197">
        <f>GETPIVOTDATA("Sum of Old-Tot G SCH Calc",'Pivot Table for Fact Book'!$A$3,"State","GA","type",13,"Type2","Technical")</f>
        <v>0</v>
      </c>
      <c r="AE51" s="197">
        <f>GETPIVOTDATA("Sum of New-Tot G SCH Calc",'Pivot Table for Fact Book'!$A$3,"State","GA","type",13,"Type2","Technical")</f>
        <v>0</v>
      </c>
      <c r="AF51" s="197">
        <f>GETPIVOTDATA("Sum of Old-Tot G SCH Calc",'Pivot Table for Fact Book'!$A$3,"State","GA","type",14,"Type2","Technical")</f>
        <v>0</v>
      </c>
      <c r="AG51" s="197">
        <f>GETPIVOTDATA("Sum of New-Tot G SCH Calc",'Pivot Table for Fact Book'!$A$3,"State","GA","type",14,"Type2","Technical")</f>
        <v>0</v>
      </c>
      <c r="AH51" s="199">
        <f>GETPIVOTDATA("Sum of Old-Tot G SCH Calc",'Pivot Table for Fact Book'!$A$3,"State","GA","Type2","Technical")</f>
        <v>0</v>
      </c>
      <c r="AI51" s="199">
        <f>GETPIVOTDATA("Sum of New-Tot G SCH Calc",'Pivot Table for Fact Book'!$A$3,"State","GA","Type2","Technical")</f>
        <v>0</v>
      </c>
      <c r="AJ51" s="1"/>
    </row>
    <row r="52" spans="1:36">
      <c r="A52" s="175" t="s">
        <v>225</v>
      </c>
      <c r="B52" s="195">
        <f>GETPIVOTDATA("Sum of Old-Tot G SCH Calc",'Pivot Table for Fact Book'!$A$3,"State","KY","type",1,"Type2","Four-Year")</f>
        <v>156500</v>
      </c>
      <c r="C52" s="116">
        <f>GETPIVOTDATA("Sum of New-Tot G SCH Calc",'Pivot Table for Fact Book'!$A$3,"State","KY","type",1,"Type2","Four-Year")</f>
        <v>160745</v>
      </c>
      <c r="D52" s="195">
        <f>GETPIVOTDATA("Sum of Old-Tot G SCH Calc",'Pivot Table for Fact Book'!$A$3,"State","KY","type",2,"Type2","Four-Year")</f>
        <v>0</v>
      </c>
      <c r="E52" s="116">
        <f>GETPIVOTDATA("Sum of New-Tot G SCH Calc",'Pivot Table for Fact Book'!$A$3,"State","KY","type",2,"Type2","Four-Year")</f>
        <v>0</v>
      </c>
      <c r="F52" s="195">
        <f>GETPIVOTDATA("Sum of Old-Tot G SCH Calc",'Pivot Table for Fact Book'!$A$3,"State","KY","type",3,"Type2","Four-Year")</f>
        <v>109285</v>
      </c>
      <c r="G52" s="116">
        <f>GETPIVOTDATA("Sum of New-Tot G SCH Calc",'Pivot Table for Fact Book'!$A$3,"State","KY","type",3,"Type2","Four-Year")</f>
        <v>110572</v>
      </c>
      <c r="H52" s="195">
        <f>GETPIVOTDATA("Sum of Old-Tot G SCH Calc",'Pivot Table for Fact Book'!$A$3,"State","KY","type",4,"Type2","Four-Year")</f>
        <v>59755</v>
      </c>
      <c r="I52" s="116">
        <f>GETPIVOTDATA("Sum of New-Tot G SCH Calc",'Pivot Table for Fact Book'!$A$3,"State","KY","type",4,"Type2","Four-Year")</f>
        <v>60162</v>
      </c>
      <c r="J52" s="195">
        <f>GETPIVOTDATA("Sum of Old-Tot G SCH Calc",'Pivot Table for Fact Book'!$A$3,"State","KY","type",5,"Type2","Four-Year")</f>
        <v>3206</v>
      </c>
      <c r="K52" s="116">
        <f>GETPIVOTDATA("Sum of New-Tot G SCH Calc",'Pivot Table for Fact Book'!$A$3,"State","KY","type",5,"Type2","Four-Year")</f>
        <v>2666</v>
      </c>
      <c r="L52" s="195">
        <f>GETPIVOTDATA("Sum of Old-Tot G SCH Calc",'Pivot Table for Fact Book'!$A$3,"State","KY","type",6,"Type2","Four-Year")</f>
        <v>0</v>
      </c>
      <c r="M52" s="116">
        <f>GETPIVOTDATA("Sum of New-Tot G SCH Calc",'Pivot Table for Fact Book'!$A$3,"State","KY","type",6,"Type2","Four-Year")</f>
        <v>0</v>
      </c>
      <c r="N52" s="195">
        <f>GETPIVOTDATA("Sum of Old-Tot G SCH Calc",'Pivot Table for Fact Book'!$A$3,"State","KY","type",15,"Type2","Four-Year")</f>
        <v>0</v>
      </c>
      <c r="O52" s="116">
        <f>GETPIVOTDATA("Sum of New-Tot G SCH Calc",'Pivot Table for Fact Book'!$A$3,"State","KY","type",15,"Type2","Four-Year")</f>
        <v>0</v>
      </c>
      <c r="P52" s="196">
        <f>GETPIVOTDATA("Sum of Old-Tot G SCH Calc",'Pivot Table for Fact Book'!$A$3,"State","KY","Type2","Four-Year")</f>
        <v>328746</v>
      </c>
      <c r="Q52" s="196">
        <f>GETPIVOTDATA("Sum of New-Tot G SCH Calc",'Pivot Table for Fact Book'!$A$3,"State","KY","Type2","Four-Year")</f>
        <v>334145</v>
      </c>
      <c r="R52" s="195">
        <f>GETPIVOTDATA("Sum of Old-Tot G SCH Calc",'Pivot Table for Fact Book'!$A$3,"State","KY","type",7,"Type2","Two-Year")</f>
        <v>0</v>
      </c>
      <c r="S52" s="197">
        <f>GETPIVOTDATA("Sum of New-Tot G SCH Calc",'Pivot Table for Fact Book'!$A$3,"State","KY","type",7,"Type2","Two-Year")</f>
        <v>0</v>
      </c>
      <c r="T52" s="197">
        <f>GETPIVOTDATA("Sum of Old-Tot G SCH Calc",'Pivot Table for Fact Book'!$A$3,"State","KY","type",8,"Type2","Two-Year")</f>
        <v>0</v>
      </c>
      <c r="U52" s="197">
        <f>GETPIVOTDATA("Sum of New-Tot G SCH Calc",'Pivot Table for Fact Book'!$A$3,"State","KY","type",8,"Type2","Two-Year")</f>
        <v>0</v>
      </c>
      <c r="V52" s="197">
        <f>GETPIVOTDATA("Sum of Old-Tot G SCH Calc",'Pivot Table for Fact Book'!$A$3,"State","KY","type",9,"Type2","Two-Year")</f>
        <v>0</v>
      </c>
      <c r="W52" s="197">
        <f>GETPIVOTDATA("Sum of New-Tot G SCH Calc",'Pivot Table for Fact Book'!$A$3,"State","KY","type",9,"Type2","Two-Year")</f>
        <v>0</v>
      </c>
      <c r="X52" s="197">
        <f>GETPIVOTDATA("Sum of Old-Tot G SCH Calc",'Pivot Table for Fact Book'!$A$3,"State","KY","type",10,"Type2","Two-Year")</f>
        <v>0</v>
      </c>
      <c r="Y52" s="197">
        <f>GETPIVOTDATA("Sum of New-Tot G SCH Calc",'Pivot Table for Fact Book'!$A$3,"State","KY","type",10,"Type2","Two-Year")</f>
        <v>0</v>
      </c>
      <c r="Z52" s="198">
        <f>GETPIVOTDATA("Sum of Old-Tot G SCH Calc",'Pivot Table for Fact Book'!$A$3,"State","KY","Type2","Two-Year")</f>
        <v>0</v>
      </c>
      <c r="AA52" s="198">
        <f>GETPIVOTDATA("Sum of New-Tot G SCH Calc",'Pivot Table for Fact Book'!$A$3,"State","KY","Type2","Two-Year")</f>
        <v>0</v>
      </c>
      <c r="AB52" s="195">
        <f>GETPIVOTDATA("Sum of Old-Tot G SCH Calc",'Pivot Table for Fact Book'!$A$3,"State","KY","type",12,"Type2","Technical")</f>
        <v>0</v>
      </c>
      <c r="AC52" s="197">
        <f>GETPIVOTDATA("Sum of New-Tot G SCH Calc",'Pivot Table for Fact Book'!$A$3,"State","KY","type",12,"Type2","Technical")</f>
        <v>0</v>
      </c>
      <c r="AD52" s="197">
        <f>GETPIVOTDATA("Sum of Old-Tot G SCH Calc",'Pivot Table for Fact Book'!$A$3,"State","KY","type",13,"Type2","Technical")</f>
        <v>0</v>
      </c>
      <c r="AE52" s="197">
        <f>GETPIVOTDATA("Sum of New-Tot G SCH Calc",'Pivot Table for Fact Book'!$A$3,"State","KY","type",13,"Type2","Technical")</f>
        <v>0</v>
      </c>
      <c r="AF52" s="197">
        <f>GETPIVOTDATA("Sum of Old-Tot G SCH Calc",'Pivot Table for Fact Book'!$A$3,"State","KY","type",14,"Type2","Technical")</f>
        <v>0</v>
      </c>
      <c r="AG52" s="197">
        <f>GETPIVOTDATA("Sum of New-Tot G SCH Calc",'Pivot Table for Fact Book'!$A$3,"State","KY","type",14,"Type2","Technical")</f>
        <v>0</v>
      </c>
      <c r="AH52" s="199">
        <f>GETPIVOTDATA("Sum of Old-Tot G SCH Calc",'Pivot Table for Fact Book'!$A$3,"State","KY","Type2","Technical")</f>
        <v>0</v>
      </c>
      <c r="AI52" s="199">
        <f>GETPIVOTDATA("Sum of New-Tot G SCH Calc",'Pivot Table for Fact Book'!$A$3,"State","KY","Type2","Technical")</f>
        <v>0</v>
      </c>
      <c r="AJ52" s="1"/>
    </row>
    <row r="53" spans="1:36">
      <c r="A53" s="175" t="s">
        <v>226</v>
      </c>
      <c r="B53" s="195">
        <f>GETPIVOTDATA("Sum of Old-Tot G SCH Calc",'Pivot Table for Fact Book'!$A$3,"State","LA","type",1,"Type2","Four-Year")</f>
        <v>104927.5</v>
      </c>
      <c r="C53" s="116">
        <f>GETPIVOTDATA("Sum of New-Tot G SCH Calc",'Pivot Table for Fact Book'!$A$3,"State","LA","type",1,"Type2","Four-Year")</f>
        <v>106587.5</v>
      </c>
      <c r="D53" s="195">
        <f>GETPIVOTDATA("Sum of Old-Tot G SCH Calc",'Pivot Table for Fact Book'!$A$3,"State","LA","type",2,"Type2","Four-Year")</f>
        <v>98353</v>
      </c>
      <c r="E53" s="116">
        <f>GETPIVOTDATA("Sum of New-Tot G SCH Calc",'Pivot Table for Fact Book'!$A$3,"State","LA","type",2,"Type2","Four-Year")</f>
        <v>102273</v>
      </c>
      <c r="F53" s="195">
        <f>GETPIVOTDATA("Sum of Old-Tot G SCH Calc",'Pivot Table for Fact Book'!$A$3,"State","LA","type",3,"Type2","Four-Year")</f>
        <v>65079</v>
      </c>
      <c r="G53" s="116">
        <f>GETPIVOTDATA("Sum of New-Tot G SCH Calc",'Pivot Table for Fact Book'!$A$3,"State","LA","type",3,"Type2","Four-Year")</f>
        <v>74856</v>
      </c>
      <c r="H53" s="195">
        <f>GETPIVOTDATA("Sum of Old-Tot G SCH Calc",'Pivot Table for Fact Book'!$A$3,"State","LA","type",4,"Type2","Four-Year")</f>
        <v>59350</v>
      </c>
      <c r="I53" s="116">
        <f>GETPIVOTDATA("Sum of New-Tot G SCH Calc",'Pivot Table for Fact Book'!$A$3,"State","LA","type",4,"Type2","Four-Year")</f>
        <v>72780</v>
      </c>
      <c r="J53" s="195">
        <f>GETPIVOTDATA("Sum of Old-Tot G SCH Calc",'Pivot Table for Fact Book'!$A$3,"State","LA","type",5,"Type2","Four-Year")</f>
        <v>7962</v>
      </c>
      <c r="K53" s="116">
        <f>GETPIVOTDATA("Sum of New-Tot G SCH Calc",'Pivot Table for Fact Book'!$A$3,"State","LA","type",5,"Type2","Four-Year")</f>
        <v>9599</v>
      </c>
      <c r="L53" s="195">
        <f>GETPIVOTDATA("Sum of Old-Tot G SCH Calc",'Pivot Table for Fact Book'!$A$3,"State","LA","type",6,"Type2","Four-Year")</f>
        <v>0</v>
      </c>
      <c r="M53" s="116">
        <f>GETPIVOTDATA("Sum of New-Tot G SCH Calc",'Pivot Table for Fact Book'!$A$3,"State","LA","type",6,"Type2","Four-Year")</f>
        <v>0</v>
      </c>
      <c r="N53" s="195">
        <f>GETPIVOTDATA("Sum of Old-Tot G SCH Calc",'Pivot Table for Fact Book'!$A$3,"State","LA","type",15,"Type2","Four-Year")</f>
        <v>0</v>
      </c>
      <c r="O53" s="116">
        <f>GETPIVOTDATA("Sum of New-Tot G SCH Calc",'Pivot Table for Fact Book'!$A$3,"State","LA","type",15,"Type2","Four-Year")</f>
        <v>0</v>
      </c>
      <c r="P53" s="196">
        <f>GETPIVOTDATA("Sum of Old-Tot G SCH Calc",'Pivot Table for Fact Book'!$A$3,"State","LA","Type2","Four-Year")</f>
        <v>335671.5</v>
      </c>
      <c r="Q53" s="196">
        <f>GETPIVOTDATA("Sum of New-Tot G SCH Calc",'Pivot Table for Fact Book'!$A$3,"State","LA","Type2","Four-Year")</f>
        <v>366095.5</v>
      </c>
      <c r="R53" s="195">
        <f>GETPIVOTDATA("Sum of Old-Tot G SCH Calc",'Pivot Table for Fact Book'!$A$3,"State","LA","type",7,"Type2","Two-Year")</f>
        <v>0</v>
      </c>
      <c r="S53" s="197">
        <f>GETPIVOTDATA("Sum of New-Tot G SCH Calc",'Pivot Table for Fact Book'!$A$3,"State","LA","type",7,"Type2","Two-Year")</f>
        <v>0</v>
      </c>
      <c r="T53" s="197">
        <f>GETPIVOTDATA("Sum of Old-Tot G SCH Calc",'Pivot Table for Fact Book'!$A$3,"State","LA","type",8,"Type2","Two-Year")</f>
        <v>0</v>
      </c>
      <c r="U53" s="197">
        <f>GETPIVOTDATA("Sum of New-Tot G SCH Calc",'Pivot Table for Fact Book'!$A$3,"State","LA","type",8,"Type2","Two-Year")</f>
        <v>0</v>
      </c>
      <c r="V53" s="197">
        <f>GETPIVOTDATA("Sum of Old-Tot G SCH Calc",'Pivot Table for Fact Book'!$A$3,"State","LA","type",9,"Type2","Two-Year")</f>
        <v>0</v>
      </c>
      <c r="W53" s="197">
        <f>GETPIVOTDATA("Sum of New-Tot G SCH Calc",'Pivot Table for Fact Book'!$A$3,"State","LA","type",9,"Type2","Two-Year")</f>
        <v>0</v>
      </c>
      <c r="X53" s="197">
        <f>GETPIVOTDATA("Sum of Old-Tot G SCH Calc",'Pivot Table for Fact Book'!$A$3,"State","LA","type",10,"Type2","Two-Year")</f>
        <v>0</v>
      </c>
      <c r="Y53" s="197">
        <f>GETPIVOTDATA("Sum of New-Tot G SCH Calc",'Pivot Table for Fact Book'!$A$3,"State","LA","type",10,"Type2","Two-Year")</f>
        <v>0</v>
      </c>
      <c r="Z53" s="198">
        <f>GETPIVOTDATA("Sum of Old-Tot G SCH Calc",'Pivot Table for Fact Book'!$A$3,"State","LA","Type2","Two-Year")</f>
        <v>0</v>
      </c>
      <c r="AA53" s="198">
        <f>GETPIVOTDATA("Sum of New-Tot G SCH Calc",'Pivot Table for Fact Book'!$A$3,"State","LA","Type2","Two-Year")</f>
        <v>0</v>
      </c>
      <c r="AB53" s="195">
        <f>GETPIVOTDATA("Sum of Old-Tot G SCH Calc",'Pivot Table for Fact Book'!$A$3,"State","LA","type",12,"Type2","Technical")</f>
        <v>0</v>
      </c>
      <c r="AC53" s="197">
        <f>GETPIVOTDATA("Sum of New-Tot G SCH Calc",'Pivot Table for Fact Book'!$A$3,"State","LA","type",12,"Type2","Technical")</f>
        <v>0</v>
      </c>
      <c r="AD53" s="197">
        <f>GETPIVOTDATA("Sum of Old-Tot G SCH Calc",'Pivot Table for Fact Book'!$A$3,"State","LA","type",13,"Type2","Technical")</f>
        <v>0</v>
      </c>
      <c r="AE53" s="197">
        <f>GETPIVOTDATA("Sum of New-Tot G SCH Calc",'Pivot Table for Fact Book'!$A$3,"State","LA","type",13,"Type2","Technical")</f>
        <v>0</v>
      </c>
      <c r="AF53" s="197">
        <f>GETPIVOTDATA("Sum of Old-Tot G SCH Calc",'Pivot Table for Fact Book'!$A$3,"State","LA","type",14,"Type2","Technical")</f>
        <v>0</v>
      </c>
      <c r="AG53" s="197">
        <f>GETPIVOTDATA("Sum of New-Tot G SCH Calc",'Pivot Table for Fact Book'!$A$3,"State","LA","type",14,"Type2","Technical")</f>
        <v>0</v>
      </c>
      <c r="AH53" s="199">
        <f>GETPIVOTDATA("Sum of Old-Tot G SCH Calc",'Pivot Table for Fact Book'!$A$3,"State","LA","Type2","Technical")</f>
        <v>0</v>
      </c>
      <c r="AI53" s="199">
        <f>GETPIVOTDATA("Sum of New-Tot G SCH Calc",'Pivot Table for Fact Book'!$A$3,"State","LA","Type2","Technical")</f>
        <v>0</v>
      </c>
      <c r="AJ53" s="1"/>
    </row>
    <row r="54" spans="1:36">
      <c r="A54" s="175" t="s">
        <v>227</v>
      </c>
      <c r="B54" s="195">
        <f>GETPIVOTDATA("Sum of Old-Tot G SCH Calc",'Pivot Table for Fact Book'!$A$3,"State","MD","type",1,"Type2","Four-Year")</f>
        <v>149363</v>
      </c>
      <c r="C54" s="116">
        <f>GETPIVOTDATA("Sum of New-Tot G SCH Calc",'Pivot Table for Fact Book'!$A$3,"State","MD","type",1,"Type2","Four-Year")</f>
        <v>148639.25</v>
      </c>
      <c r="D54" s="195">
        <f>GETPIVOTDATA("Sum of Old-Tot G SCH Calc",'Pivot Table for Fact Book'!$A$3,"State","MD","type",2,"Type2","Four-Year")</f>
        <v>23578</v>
      </c>
      <c r="E54" s="116">
        <f>GETPIVOTDATA("Sum of New-Tot G SCH Calc",'Pivot Table for Fact Book'!$A$3,"State","MD","type",2,"Type2","Four-Year")</f>
        <v>25309</v>
      </c>
      <c r="F54" s="195">
        <f>GETPIVOTDATA("Sum of Old-Tot G SCH Calc",'Pivot Table for Fact Book'!$A$3,"State","MD","type",3,"Type2","Four-Year")</f>
        <v>65158</v>
      </c>
      <c r="G54" s="116">
        <f>GETPIVOTDATA("Sum of New-Tot G SCH Calc",'Pivot Table for Fact Book'!$A$3,"State","MD","type",3,"Type2","Four-Year")</f>
        <v>66190</v>
      </c>
      <c r="H54" s="195">
        <f>GETPIVOTDATA("Sum of Old-Tot G SCH Calc",'Pivot Table for Fact Book'!$A$3,"State","MD","type",4,"Type2","Four-Year")</f>
        <v>107008</v>
      </c>
      <c r="I54" s="116">
        <f>GETPIVOTDATA("Sum of New-Tot G SCH Calc",'Pivot Table for Fact Book'!$A$3,"State","MD","type",4,"Type2","Four-Year")</f>
        <v>110476</v>
      </c>
      <c r="J54" s="195">
        <f>GETPIVOTDATA("Sum of Old-Tot G SCH Calc",'Pivot Table for Fact Book'!$A$3,"State","MD","type",5,"Type2","Four-Year")</f>
        <v>0</v>
      </c>
      <c r="K54" s="116">
        <f>GETPIVOTDATA("Sum of New-Tot G SCH Calc",'Pivot Table for Fact Book'!$A$3,"State","MD","type",5,"Type2","Four-Year")</f>
        <v>0</v>
      </c>
      <c r="L54" s="195">
        <f>GETPIVOTDATA("Sum of Old-Tot G SCH Calc",'Pivot Table for Fact Book'!$A$3,"State","MD","type",6,"Type2","Four-Year")</f>
        <v>624</v>
      </c>
      <c r="M54" s="116">
        <f>GETPIVOTDATA("Sum of New-Tot G SCH Calc",'Pivot Table for Fact Book'!$A$3,"State","MD","type",6,"Type2","Four-Year")</f>
        <v>1282</v>
      </c>
      <c r="N54" s="195">
        <f>GETPIVOTDATA("Sum of Old-Tot G SCH Calc",'Pivot Table for Fact Book'!$A$3,"State","MD","type",15,"Type2","Four-Year")</f>
        <v>121682</v>
      </c>
      <c r="O54" s="116">
        <f>GETPIVOTDATA("Sum of New-Tot G SCH Calc",'Pivot Table for Fact Book'!$A$3,"State","MD","type",15,"Type2","Four-Year")</f>
        <v>109857</v>
      </c>
      <c r="P54" s="196">
        <f>GETPIVOTDATA("Sum of Old-Tot G SCH Calc",'Pivot Table for Fact Book'!$A$3,"State","MD","Type2","Four-Year")</f>
        <v>467413</v>
      </c>
      <c r="Q54" s="196">
        <f>GETPIVOTDATA("Sum of New-Tot G SCH Calc",'Pivot Table for Fact Book'!$A$3,"State","MD","Type2","Four-Year")</f>
        <v>461753.25</v>
      </c>
      <c r="R54" s="195">
        <f>GETPIVOTDATA("Sum of Old-Tot G SCH Calc",'Pivot Table for Fact Book'!$A$3,"State","MD","type",7,"Type2","Two-Year")</f>
        <v>0</v>
      </c>
      <c r="S54" s="197">
        <f>GETPIVOTDATA("Sum of New-Tot G SCH Calc",'Pivot Table for Fact Book'!$A$3,"State","MD","type",7,"Type2","Two-Year")</f>
        <v>0</v>
      </c>
      <c r="T54" s="197">
        <f>GETPIVOTDATA("Sum of Old-Tot G SCH Calc",'Pivot Table for Fact Book'!$A$3,"State","MD","type",8,"Type2","Two-Year")</f>
        <v>0</v>
      </c>
      <c r="U54" s="197">
        <f>GETPIVOTDATA("Sum of New-Tot G SCH Calc",'Pivot Table for Fact Book'!$A$3,"State","MD","type",8,"Type2","Two-Year")</f>
        <v>0</v>
      </c>
      <c r="V54" s="197">
        <f>GETPIVOTDATA("Sum of Old-Tot G SCH Calc",'Pivot Table for Fact Book'!$A$3,"State","MD","type",9,"Type2","Two-Year")</f>
        <v>0</v>
      </c>
      <c r="W54" s="197">
        <f>GETPIVOTDATA("Sum of New-Tot G SCH Calc",'Pivot Table for Fact Book'!$A$3,"State","MD","type",9,"Type2","Two-Year")</f>
        <v>0</v>
      </c>
      <c r="X54" s="197">
        <f>GETPIVOTDATA("Sum of Old-Tot G SCH Calc",'Pivot Table for Fact Book'!$A$3,"State","MD","type",10,"Type2","Two-Year")</f>
        <v>0</v>
      </c>
      <c r="Y54" s="197">
        <f>GETPIVOTDATA("Sum of New-Tot G SCH Calc",'Pivot Table for Fact Book'!$A$3,"State","MD","type",10,"Type2","Two-Year")</f>
        <v>0</v>
      </c>
      <c r="Z54" s="198">
        <f>GETPIVOTDATA("Sum of Old-Tot G SCH Calc",'Pivot Table for Fact Book'!$A$3,"State","MD","Type2","Two-Year")</f>
        <v>0</v>
      </c>
      <c r="AA54" s="198">
        <f>GETPIVOTDATA("Sum of New-Tot G SCH Calc",'Pivot Table for Fact Book'!$A$3,"State","MD","Type2","Two-Year")</f>
        <v>0</v>
      </c>
      <c r="AB54" s="195">
        <f>GETPIVOTDATA("Sum of Old-Tot G SCH Calc",'Pivot Table for Fact Book'!$A$3,"State","MD","type",12,"Type2","Technical")</f>
        <v>0</v>
      </c>
      <c r="AC54" s="197">
        <f>GETPIVOTDATA("Sum of New-Tot G SCH Calc",'Pivot Table for Fact Book'!$A$3,"State","MD","type",12,"Type2","Technical")</f>
        <v>0</v>
      </c>
      <c r="AD54" s="197">
        <f>GETPIVOTDATA("Sum of Old-Tot G SCH Calc",'Pivot Table for Fact Book'!$A$3,"State","MD","type",13,"Type2","Technical")</f>
        <v>0</v>
      </c>
      <c r="AE54" s="197">
        <f>GETPIVOTDATA("Sum of New-Tot G SCH Calc",'Pivot Table for Fact Book'!$A$3,"State","MD","type",13,"Type2","Technical")</f>
        <v>0</v>
      </c>
      <c r="AF54" s="197">
        <f>GETPIVOTDATA("Sum of Old-Tot G SCH Calc",'Pivot Table for Fact Book'!$A$3,"State","MD","type",14,"Type2","Technical")</f>
        <v>0</v>
      </c>
      <c r="AG54" s="197">
        <f>GETPIVOTDATA("Sum of New-Tot G SCH Calc",'Pivot Table for Fact Book'!$A$3,"State","MD","type",14,"Type2","Technical")</f>
        <v>0</v>
      </c>
      <c r="AH54" s="199">
        <f>GETPIVOTDATA("Sum of Old-Tot G SCH Calc",'Pivot Table for Fact Book'!$A$3,"State","MD","Type2","Technical")</f>
        <v>0</v>
      </c>
      <c r="AI54" s="199">
        <f>GETPIVOTDATA("Sum of New-Tot G SCH Calc",'Pivot Table for Fact Book'!$A$3,"State","MD","Type2","Technical")</f>
        <v>0</v>
      </c>
      <c r="AJ54" s="1"/>
    </row>
    <row r="55" spans="1:36">
      <c r="A55" s="175" t="s">
        <v>204</v>
      </c>
      <c r="B55" s="195">
        <f>GETPIVOTDATA("Sum of Old-Tot G SCH Calc",'Pivot Table for Fact Book'!$A$3,"State","MS","type",1,"Type2","Four-Year")</f>
        <v>115855</v>
      </c>
      <c r="C55" s="116">
        <f>GETPIVOTDATA("Sum of New-Tot G SCH Calc",'Pivot Table for Fact Book'!$A$3,"State","MS","type",1,"Type2","Four-Year")</f>
        <v>116948</v>
      </c>
      <c r="D55" s="195">
        <f>GETPIVOTDATA("Sum of Old-Tot G SCH Calc",'Pivot Table for Fact Book'!$A$3,"State","MS","type",2,"Type2","Four-Year")</f>
        <v>86438</v>
      </c>
      <c r="E55" s="116">
        <f>GETPIVOTDATA("Sum of New-Tot G SCH Calc",'Pivot Table for Fact Book'!$A$3,"State","MS","type",2,"Type2","Four-Year")</f>
        <v>83053</v>
      </c>
      <c r="F55" s="195">
        <f>GETPIVOTDATA("Sum of Old-Tot G SCH Calc",'Pivot Table for Fact Book'!$A$3,"State","MS","type",3,"Type2","Four-Year")</f>
        <v>0</v>
      </c>
      <c r="G55" s="116">
        <f>GETPIVOTDATA("Sum of New-Tot G SCH Calc",'Pivot Table for Fact Book'!$A$3,"State","MS","type",3,"Type2","Four-Year")</f>
        <v>0</v>
      </c>
      <c r="H55" s="195">
        <f>GETPIVOTDATA("Sum of Old-Tot G SCH Calc",'Pivot Table for Fact Book'!$A$3,"State","MS","type",4,"Type2","Four-Year")</f>
        <v>23486</v>
      </c>
      <c r="I55" s="116">
        <f>GETPIVOTDATA("Sum of New-Tot G SCH Calc",'Pivot Table for Fact Book'!$A$3,"State","MS","type",4,"Type2","Four-Year")</f>
        <v>24100</v>
      </c>
      <c r="J55" s="195">
        <f>GETPIVOTDATA("Sum of Old-Tot G SCH Calc",'Pivot Table for Fact Book'!$A$3,"State","MS","type",5,"Type2","Four-Year")</f>
        <v>11096</v>
      </c>
      <c r="K55" s="116">
        <f>GETPIVOTDATA("Sum of New-Tot G SCH Calc",'Pivot Table for Fact Book'!$A$3,"State","MS","type",5,"Type2","Four-Year")</f>
        <v>9848</v>
      </c>
      <c r="L55" s="195">
        <f>GETPIVOTDATA("Sum of Old-Tot G SCH Calc",'Pivot Table for Fact Book'!$A$3,"State","MS","type",6,"Type2","Four-Year")</f>
        <v>0</v>
      </c>
      <c r="M55" s="116">
        <f>GETPIVOTDATA("Sum of New-Tot G SCH Calc",'Pivot Table for Fact Book'!$A$3,"State","MS","type",6,"Type2","Four-Year")</f>
        <v>0</v>
      </c>
      <c r="N55" s="195">
        <f>GETPIVOTDATA("Sum of Old-Tot G SCH Calc",'Pivot Table for Fact Book'!$A$3,"State","MS","type",15,"Type2","Four-Year")</f>
        <v>0</v>
      </c>
      <c r="O55" s="116">
        <f>GETPIVOTDATA("Sum of New-Tot G SCH Calc",'Pivot Table for Fact Book'!$A$3,"State","MS","type",15,"Type2","Four-Year")</f>
        <v>0</v>
      </c>
      <c r="P55" s="196">
        <f>GETPIVOTDATA("Sum of Old-Tot G SCH Calc",'Pivot Table for Fact Book'!$A$3,"State","MS","Type2","Four-Year")</f>
        <v>236875</v>
      </c>
      <c r="Q55" s="196">
        <f>GETPIVOTDATA("Sum of New-Tot G SCH Calc",'Pivot Table for Fact Book'!$A$3,"State","MS","Type2","Four-Year")</f>
        <v>233949</v>
      </c>
      <c r="R55" s="195">
        <f>GETPIVOTDATA("Sum of Old-Tot G SCH Calc",'Pivot Table for Fact Book'!$A$3,"State","MS","type",7,"Type2","Two-Year")</f>
        <v>0</v>
      </c>
      <c r="S55" s="197">
        <f>GETPIVOTDATA("Sum of New-Tot G SCH Calc",'Pivot Table for Fact Book'!$A$3,"State","MS","type",7,"Type2","Two-Year")</f>
        <v>0</v>
      </c>
      <c r="T55" s="197">
        <f>GETPIVOTDATA("Sum of Old-Tot G SCH Calc",'Pivot Table for Fact Book'!$A$3,"State","MS","type",8,"Type2","Two-Year")</f>
        <v>0</v>
      </c>
      <c r="U55" s="197">
        <f>GETPIVOTDATA("Sum of New-Tot G SCH Calc",'Pivot Table for Fact Book'!$A$3,"State","MS","type",8,"Type2","Two-Year")</f>
        <v>0</v>
      </c>
      <c r="V55" s="197">
        <f>GETPIVOTDATA("Sum of Old-Tot G SCH Calc",'Pivot Table for Fact Book'!$A$3,"State","MS","type",9,"Type2","Two-Year")</f>
        <v>0</v>
      </c>
      <c r="W55" s="197">
        <f>GETPIVOTDATA("Sum of New-Tot G SCH Calc",'Pivot Table for Fact Book'!$A$3,"State","MS","type",9,"Type2","Two-Year")</f>
        <v>0</v>
      </c>
      <c r="X55" s="197">
        <f>GETPIVOTDATA("Sum of Old-Tot G SCH Calc",'Pivot Table for Fact Book'!$A$3,"State","MS","type",10,"Type2","Two-Year")</f>
        <v>0</v>
      </c>
      <c r="Y55" s="197">
        <f>GETPIVOTDATA("Sum of New-Tot G SCH Calc",'Pivot Table for Fact Book'!$A$3,"State","MS","type",10,"Type2","Two-Year")</f>
        <v>0</v>
      </c>
      <c r="Z55" s="198">
        <f>GETPIVOTDATA("Sum of Old-Tot G SCH Calc",'Pivot Table for Fact Book'!$A$3,"State","MS","Type2","Two-Year")</f>
        <v>0</v>
      </c>
      <c r="AA55" s="198">
        <f>GETPIVOTDATA("Sum of New-Tot G SCH Calc",'Pivot Table for Fact Book'!$A$3,"State","MS","Type2","Two-Year")</f>
        <v>0</v>
      </c>
      <c r="AB55" s="195">
        <f>GETPIVOTDATA("Sum of Old-Tot G SCH Calc",'Pivot Table for Fact Book'!$A$3,"State","MS","type",12,"Type2","Technical")</f>
        <v>0</v>
      </c>
      <c r="AC55" s="197">
        <f>GETPIVOTDATA("Sum of New-Tot G SCH Calc",'Pivot Table for Fact Book'!$A$3,"State","MS","type",12,"Type2","Technical")</f>
        <v>0</v>
      </c>
      <c r="AD55" s="197">
        <f>GETPIVOTDATA("Sum of Old-Tot G SCH Calc",'Pivot Table for Fact Book'!$A$3,"State","MS","type",13,"Type2","Technical")</f>
        <v>0</v>
      </c>
      <c r="AE55" s="197">
        <f>GETPIVOTDATA("Sum of New-Tot G SCH Calc",'Pivot Table for Fact Book'!$A$3,"State","MS","type",13,"Type2","Technical")</f>
        <v>0</v>
      </c>
      <c r="AF55" s="197">
        <f>GETPIVOTDATA("Sum of Old-Tot G SCH Calc",'Pivot Table for Fact Book'!$A$3,"State","MS","type",14,"Type2","Technical")</f>
        <v>0</v>
      </c>
      <c r="AG55" s="197">
        <f>GETPIVOTDATA("Sum of New-Tot G SCH Calc",'Pivot Table for Fact Book'!$A$3,"State","MS","type",14,"Type2","Technical")</f>
        <v>0</v>
      </c>
      <c r="AH55" s="199">
        <f>GETPIVOTDATA("Sum of Old-Tot G SCH Calc",'Pivot Table for Fact Book'!$A$3,"State","MS","Type2","Technical")</f>
        <v>0</v>
      </c>
      <c r="AI55" s="199">
        <f>GETPIVOTDATA("Sum of New-Tot G SCH Calc",'Pivot Table for Fact Book'!$A$3,"State","MS","Type2","Technical")</f>
        <v>0</v>
      </c>
      <c r="AJ55" s="1"/>
    </row>
    <row r="56" spans="1:36">
      <c r="A56" s="175" t="s">
        <v>212</v>
      </c>
      <c r="B56" s="195">
        <f>GETPIVOTDATA("Sum of Old-Tot G SCH Calc",'Pivot Table for Fact Book'!$A$3,"State","NC","type",1,"Type2","Four-Year")</f>
        <v>302346</v>
      </c>
      <c r="C56" s="116">
        <f>GETPIVOTDATA("Sum of New-Tot G SCH Calc",'Pivot Table for Fact Book'!$A$3,"State","NC","type",1,"Type2","Four-Year")</f>
        <v>303666</v>
      </c>
      <c r="D56" s="195">
        <f>GETPIVOTDATA("Sum of Old-Tot G SCH Calc",'Pivot Table for Fact Book'!$A$3,"State","NC","type",2,"Type2","Four-Year")</f>
        <v>134116</v>
      </c>
      <c r="E56" s="116">
        <f>GETPIVOTDATA("Sum of New-Tot G SCH Calc",'Pivot Table for Fact Book'!$A$3,"State","NC","type",2,"Type2","Four-Year")</f>
        <v>137751</v>
      </c>
      <c r="F56" s="195">
        <f>GETPIVOTDATA("Sum of Old-Tot G SCH Calc",'Pivot Table for Fact Book'!$A$3,"State","NC","type",3,"Type2","Four-Year")</f>
        <v>245472</v>
      </c>
      <c r="G56" s="116">
        <f>GETPIVOTDATA("Sum of New-Tot G SCH Calc",'Pivot Table for Fact Book'!$A$3,"State","NC","type",3,"Type2","Four-Year")</f>
        <v>260180</v>
      </c>
      <c r="H56" s="195">
        <f>GETPIVOTDATA("Sum of Old-Tot G SCH Calc",'Pivot Table for Fact Book'!$A$3,"State","NC","type",4,"Type2","Four-Year")</f>
        <v>12728</v>
      </c>
      <c r="I56" s="116">
        <f>GETPIVOTDATA("Sum of New-Tot G SCH Calc",'Pivot Table for Fact Book'!$A$3,"State","NC","type",4,"Type2","Four-Year")</f>
        <v>11314</v>
      </c>
      <c r="J56" s="195">
        <f>GETPIVOTDATA("Sum of Old-Tot G SCH Calc",'Pivot Table for Fact Book'!$A$3,"State","NC","type",5,"Type2","Four-Year")</f>
        <v>17001</v>
      </c>
      <c r="K56" s="116">
        <f>GETPIVOTDATA("Sum of New-Tot G SCH Calc",'Pivot Table for Fact Book'!$A$3,"State","NC","type",5,"Type2","Four-Year")</f>
        <v>19106</v>
      </c>
      <c r="L56" s="195">
        <f>GETPIVOTDATA("Sum of Old-Tot G SCH Calc",'Pivot Table for Fact Book'!$A$3,"State","NC","type",6,"Type2","Four-Year")</f>
        <v>1624</v>
      </c>
      <c r="M56" s="116">
        <f>GETPIVOTDATA("Sum of New-Tot G SCH Calc",'Pivot Table for Fact Book'!$A$3,"State","NC","type",6,"Type2","Four-Year")</f>
        <v>1171</v>
      </c>
      <c r="N56" s="195">
        <f>GETPIVOTDATA("Sum of Old-Tot G SCH Calc",'Pivot Table for Fact Book'!$A$3,"State","NC","type",15,"Type2","Four-Year")</f>
        <v>0</v>
      </c>
      <c r="O56" s="116">
        <f>GETPIVOTDATA("Sum of New-Tot G SCH Calc",'Pivot Table for Fact Book'!$A$3,"State","NC","type",15,"Type2","Four-Year")</f>
        <v>0</v>
      </c>
      <c r="P56" s="196">
        <f>GETPIVOTDATA("Sum of Old-Tot G SCH Calc",'Pivot Table for Fact Book'!$A$3,"State","NC","Type2","Four-Year")</f>
        <v>713287</v>
      </c>
      <c r="Q56" s="196">
        <f>GETPIVOTDATA("Sum of New-Tot G SCH Calc",'Pivot Table for Fact Book'!$A$3,"State","NC","Type2","Four-Year")</f>
        <v>733188</v>
      </c>
      <c r="R56" s="195">
        <f>GETPIVOTDATA("Sum of Old-Tot G SCH Calc",'Pivot Table for Fact Book'!$A$3,"State","NC","type",7,"Type2","Two-Year")</f>
        <v>0</v>
      </c>
      <c r="S56" s="197">
        <f>GETPIVOTDATA("Sum of New-Tot G SCH Calc",'Pivot Table for Fact Book'!$A$3,"State","NC","type",7,"Type2","Two-Year")</f>
        <v>0</v>
      </c>
      <c r="T56" s="197">
        <f>GETPIVOTDATA("Sum of Old-Tot G SCH Calc",'Pivot Table for Fact Book'!$A$3,"State","NC","type",8,"Type2","Two-Year")</f>
        <v>0</v>
      </c>
      <c r="U56" s="197">
        <f>GETPIVOTDATA("Sum of New-Tot G SCH Calc",'Pivot Table for Fact Book'!$A$3,"State","NC","type",8,"Type2","Two-Year")</f>
        <v>0</v>
      </c>
      <c r="V56" s="197">
        <f>GETPIVOTDATA("Sum of Old-Tot G SCH Calc",'Pivot Table for Fact Book'!$A$3,"State","NC","type",9,"Type2","Two-Year")</f>
        <v>0</v>
      </c>
      <c r="W56" s="197">
        <f>GETPIVOTDATA("Sum of New-Tot G SCH Calc",'Pivot Table for Fact Book'!$A$3,"State","NC","type",9,"Type2","Two-Year")</f>
        <v>0</v>
      </c>
      <c r="X56" s="197">
        <f>GETPIVOTDATA("Sum of Old-Tot G SCH Calc",'Pivot Table for Fact Book'!$A$3,"State","NC","type",10,"Type2","Two-Year")</f>
        <v>0</v>
      </c>
      <c r="Y56" s="197">
        <f>GETPIVOTDATA("Sum of New-Tot G SCH Calc",'Pivot Table for Fact Book'!$A$3,"State","NC","type",10,"Type2","Two-Year")</f>
        <v>0</v>
      </c>
      <c r="Z56" s="198">
        <f>GETPIVOTDATA("Sum of Old-Tot G SCH Calc",'Pivot Table for Fact Book'!$A$3,"State","NC","Type2","Two-Year")</f>
        <v>0</v>
      </c>
      <c r="AA56" s="198">
        <f>GETPIVOTDATA("Sum of New-Tot G SCH Calc",'Pivot Table for Fact Book'!$A$3,"State","NC","Type2","Two-Year")</f>
        <v>0</v>
      </c>
      <c r="AB56" s="195">
        <f>GETPIVOTDATA("Sum of Old-Tot G SCH Calc",'Pivot Table for Fact Book'!$A$3,"State","NC","type",12,"Type2","Technical")</f>
        <v>0</v>
      </c>
      <c r="AC56" s="197">
        <f>GETPIVOTDATA("Sum of New-Tot G SCH Calc",'Pivot Table for Fact Book'!$A$3,"State","NC","type",12,"Type2","Technical")</f>
        <v>0</v>
      </c>
      <c r="AD56" s="197">
        <f>GETPIVOTDATA("Sum of Old-Tot G SCH Calc",'Pivot Table for Fact Book'!$A$3,"State","NC","type",13,"Type2","Technical")</f>
        <v>0</v>
      </c>
      <c r="AE56" s="197">
        <f>GETPIVOTDATA("Sum of New-Tot G SCH Calc",'Pivot Table for Fact Book'!$A$3,"State","NC","type",13,"Type2","Technical")</f>
        <v>0</v>
      </c>
      <c r="AF56" s="197">
        <f>GETPIVOTDATA("Sum of Old-Tot G SCH Calc",'Pivot Table for Fact Book'!$A$3,"State","NC","type",14,"Type2","Technical")</f>
        <v>0</v>
      </c>
      <c r="AG56" s="197">
        <f>GETPIVOTDATA("Sum of New-Tot G SCH Calc",'Pivot Table for Fact Book'!$A$3,"State","NC","type",14,"Type2","Technical")</f>
        <v>0</v>
      </c>
      <c r="AH56" s="199">
        <f>GETPIVOTDATA("Sum of Old-Tot G SCH Calc",'Pivot Table for Fact Book'!$A$3,"State","NC","Type2","Technical")</f>
        <v>0</v>
      </c>
      <c r="AI56" s="199">
        <f>GETPIVOTDATA("Sum of New-Tot G SCH Calc",'Pivot Table for Fact Book'!$A$3,"State","NC","Type2","Technical")</f>
        <v>0</v>
      </c>
      <c r="AJ56" s="1"/>
    </row>
    <row r="57" spans="1:36">
      <c r="A57" s="175" t="s">
        <v>205</v>
      </c>
      <c r="B57" s="195">
        <f>GETPIVOTDATA("Sum of Old-Tot G SCH Calc",'Pivot Table for Fact Book'!$A$3,"State","OK","type",1,"Type2","Four-Year")</f>
        <v>175796</v>
      </c>
      <c r="C57" s="116">
        <f>GETPIVOTDATA("Sum of New-Tot G SCH Calc",'Pivot Table for Fact Book'!$A$3,"State","OK","type",1,"Type2","Four-Year")</f>
        <v>157136</v>
      </c>
      <c r="D57" s="195">
        <f>GETPIVOTDATA("Sum of Old-Tot G SCH Calc",'Pivot Table for Fact Book'!$A$3,"State","OK","type",2,"Type2","Four-Year")</f>
        <v>0</v>
      </c>
      <c r="E57" s="116">
        <f>GETPIVOTDATA("Sum of New-Tot G SCH Calc",'Pivot Table for Fact Book'!$A$3,"State","OK","type",2,"Type2","Four-Year")</f>
        <v>0</v>
      </c>
      <c r="F57" s="195">
        <f>GETPIVOTDATA("Sum of Old-Tot G SCH Calc",'Pivot Table for Fact Book'!$A$3,"State","OK","type",3,"Type2","Four-Year")</f>
        <v>37121</v>
      </c>
      <c r="G57" s="116">
        <f>GETPIVOTDATA("Sum of New-Tot G SCH Calc",'Pivot Table for Fact Book'!$A$3,"State","OK","type",3,"Type2","Four-Year")</f>
        <v>38114</v>
      </c>
      <c r="H57" s="195">
        <f>GETPIVOTDATA("Sum of Old-Tot G SCH Calc",'Pivot Table for Fact Book'!$A$3,"State","OK","type",4,"Type2","Four-Year")</f>
        <v>0</v>
      </c>
      <c r="I57" s="116">
        <f>GETPIVOTDATA("Sum of New-Tot G SCH Calc",'Pivot Table for Fact Book'!$A$3,"State","OK","type",4,"Type2","Four-Year")</f>
        <v>0</v>
      </c>
      <c r="J57" s="195">
        <f>GETPIVOTDATA("Sum of Old-Tot G SCH Calc",'Pivot Table for Fact Book'!$A$3,"State","OK","type",5,"Type2","Four-Year")</f>
        <v>42458</v>
      </c>
      <c r="K57" s="116">
        <f>GETPIVOTDATA("Sum of New-Tot G SCH Calc",'Pivot Table for Fact Book'!$A$3,"State","OK","type",5,"Type2","Four-Year")</f>
        <v>44846</v>
      </c>
      <c r="L57" s="195">
        <f>GETPIVOTDATA("Sum of Old-Tot G SCH Calc",'Pivot Table for Fact Book'!$A$3,"State","OK","type",6,"Type2","Four-Year")</f>
        <v>0</v>
      </c>
      <c r="M57" s="116">
        <f>GETPIVOTDATA("Sum of New-Tot G SCH Calc",'Pivot Table for Fact Book'!$A$3,"State","OK","type",6,"Type2","Four-Year")</f>
        <v>0</v>
      </c>
      <c r="N57" s="195">
        <f>GETPIVOTDATA("Sum of Old-Tot G SCH Calc",'Pivot Table for Fact Book'!$A$3,"State","OK","type",15,"Type2","Four-Year")</f>
        <v>0</v>
      </c>
      <c r="O57" s="116">
        <f>GETPIVOTDATA("Sum of New-Tot G SCH Calc",'Pivot Table for Fact Book'!$A$3,"State","OK","type",15,"Type2","Four-Year")</f>
        <v>0</v>
      </c>
      <c r="P57" s="196">
        <f>GETPIVOTDATA("Sum of Old-Tot G SCH Calc",'Pivot Table for Fact Book'!$A$3,"State","OK","Type2","Four-Year")</f>
        <v>255375</v>
      </c>
      <c r="Q57" s="196">
        <f>GETPIVOTDATA("Sum of New-Tot G SCH Calc",'Pivot Table for Fact Book'!$A$3,"State","OK","Type2","Four-Year")</f>
        <v>240096</v>
      </c>
      <c r="R57" s="195">
        <f>GETPIVOTDATA("Sum of Old-Tot G SCH Calc",'Pivot Table for Fact Book'!$A$3,"State","OK","type",7,"Type2","Two-Year")</f>
        <v>0</v>
      </c>
      <c r="S57" s="197">
        <f>GETPIVOTDATA("Sum of New-Tot G SCH Calc",'Pivot Table for Fact Book'!$A$3,"State","OK","type",7,"Type2","Two-Year")</f>
        <v>0</v>
      </c>
      <c r="T57" s="197">
        <f>GETPIVOTDATA("Sum of Old-Tot G SCH Calc",'Pivot Table for Fact Book'!$A$3,"State","OK","type",8,"Type2","Two-Year")</f>
        <v>0</v>
      </c>
      <c r="U57" s="197">
        <f>GETPIVOTDATA("Sum of New-Tot G SCH Calc",'Pivot Table for Fact Book'!$A$3,"State","OK","type",8,"Type2","Two-Year")</f>
        <v>0</v>
      </c>
      <c r="V57" s="197">
        <f>GETPIVOTDATA("Sum of Old-Tot G SCH Calc",'Pivot Table for Fact Book'!$A$3,"State","OK","type",9,"Type2","Two-Year")</f>
        <v>0</v>
      </c>
      <c r="W57" s="197">
        <f>GETPIVOTDATA("Sum of New-Tot G SCH Calc",'Pivot Table for Fact Book'!$A$3,"State","OK","type",9,"Type2","Two-Year")</f>
        <v>0</v>
      </c>
      <c r="X57" s="197">
        <f>GETPIVOTDATA("Sum of Old-Tot G SCH Calc",'Pivot Table for Fact Book'!$A$3,"State","OK","type",10,"Type2","Two-Year")</f>
        <v>0</v>
      </c>
      <c r="Y57" s="197">
        <f>GETPIVOTDATA("Sum of New-Tot G SCH Calc",'Pivot Table for Fact Book'!$A$3,"State","OK","type",10,"Type2","Two-Year")</f>
        <v>0</v>
      </c>
      <c r="Z57" s="198">
        <f>GETPIVOTDATA("Sum of Old-Tot G SCH Calc",'Pivot Table for Fact Book'!$A$3,"State","OK","Type2","Two-Year")</f>
        <v>0</v>
      </c>
      <c r="AA57" s="198">
        <f>GETPIVOTDATA("Sum of New-Tot G SCH Calc",'Pivot Table for Fact Book'!$A$3,"State","OK","Type2","Two-Year")</f>
        <v>0</v>
      </c>
      <c r="AB57" s="195">
        <f>GETPIVOTDATA("Sum of Old-Tot G SCH Calc",'Pivot Table for Fact Book'!$A$3,"State","OK","type",12,"Type2","Technical")</f>
        <v>0</v>
      </c>
      <c r="AC57" s="197">
        <f>GETPIVOTDATA("Sum of New-Tot G SCH Calc",'Pivot Table for Fact Book'!$A$3,"State","OK","type",12,"Type2","Technical")</f>
        <v>0</v>
      </c>
      <c r="AD57" s="197">
        <f>GETPIVOTDATA("Sum of Old-Tot G SCH Calc",'Pivot Table for Fact Book'!$A$3,"State","OK","type",13,"Type2","Technical")</f>
        <v>0</v>
      </c>
      <c r="AE57" s="197">
        <f>GETPIVOTDATA("Sum of New-Tot G SCH Calc",'Pivot Table for Fact Book'!$A$3,"State","OK","type",13,"Type2","Technical")</f>
        <v>0</v>
      </c>
      <c r="AF57" s="197">
        <f>GETPIVOTDATA("Sum of Old-Tot G SCH Calc",'Pivot Table for Fact Book'!$A$3,"State","OK","type",14,"Type2","Technical")</f>
        <v>0</v>
      </c>
      <c r="AG57" s="197">
        <f>GETPIVOTDATA("Sum of New-Tot G SCH Calc",'Pivot Table for Fact Book'!$A$3,"State","OK","type",14,"Type2","Technical")</f>
        <v>0</v>
      </c>
      <c r="AH57" s="199">
        <f>GETPIVOTDATA("Sum of Old-Tot G SCH Calc",'Pivot Table for Fact Book'!$A$3,"State","OK","Type2","Technical")</f>
        <v>0</v>
      </c>
      <c r="AI57" s="199">
        <f>GETPIVOTDATA("Sum of New-Tot G SCH Calc",'Pivot Table for Fact Book'!$A$3,"State","OK","Type2","Technical")</f>
        <v>0</v>
      </c>
      <c r="AJ57" s="1"/>
    </row>
    <row r="58" spans="1:36">
      <c r="A58" s="175" t="s">
        <v>228</v>
      </c>
      <c r="B58" s="195">
        <f>GETPIVOTDATA("Sum of Old-Tot G SCH Calc",'Pivot Table for Fact Book'!$A$3,"State","SC","type",1,"Type2","Four-Year")</f>
        <v>163563</v>
      </c>
      <c r="C58" s="116">
        <f>GETPIVOTDATA("Sum of New-Tot G SCH Calc",'Pivot Table for Fact Book'!$A$3,"State","SC","type",1,"Type2","Four-Year")</f>
        <v>166863</v>
      </c>
      <c r="D58" s="195">
        <f>GETPIVOTDATA("Sum of Old-Tot G SCH Calc",'Pivot Table for Fact Book'!$A$3,"State","SC","type",2,"Type2","Four-Year")</f>
        <v>0</v>
      </c>
      <c r="E58" s="116">
        <f>GETPIVOTDATA("Sum of New-Tot G SCH Calc",'Pivot Table for Fact Book'!$A$3,"State","SC","type",2,"Type2","Four-Year")</f>
        <v>0</v>
      </c>
      <c r="F58" s="195">
        <f>GETPIVOTDATA("Sum of Old-Tot G SCH Calc",'Pivot Table for Fact Book'!$A$3,"State","SC","type",3,"Type2","Four-Year")</f>
        <v>33157</v>
      </c>
      <c r="G58" s="116">
        <f>GETPIVOTDATA("Sum of New-Tot G SCH Calc",'Pivot Table for Fact Book'!$A$3,"State","SC","type",3,"Type2","Four-Year")</f>
        <v>35469</v>
      </c>
      <c r="H58" s="195">
        <f>GETPIVOTDATA("Sum of Old-Tot G SCH Calc",'Pivot Table for Fact Book'!$A$3,"State","SC","type",4,"Type2","Four-Year")</f>
        <v>15524</v>
      </c>
      <c r="I58" s="116">
        <f>GETPIVOTDATA("Sum of New-Tot G SCH Calc",'Pivot Table for Fact Book'!$A$3,"State","SC","type",4,"Type2","Four-Year")</f>
        <v>15795.5</v>
      </c>
      <c r="J58" s="195">
        <f>GETPIVOTDATA("Sum of Old-Tot G SCH Calc",'Pivot Table for Fact Book'!$A$3,"State","SC","type",5,"Type2","Four-Year")</f>
        <v>28233</v>
      </c>
      <c r="K58" s="116">
        <f>GETPIVOTDATA("Sum of New-Tot G SCH Calc",'Pivot Table for Fact Book'!$A$3,"State","SC","type",5,"Type2","Four-Year")</f>
        <v>27215</v>
      </c>
      <c r="L58" s="195">
        <f>GETPIVOTDATA("Sum of Old-Tot G SCH Calc",'Pivot Table for Fact Book'!$A$3,"State","SC","type",6,"Type2","Four-Year")</f>
        <v>2669</v>
      </c>
      <c r="M58" s="116">
        <f>GETPIVOTDATA("Sum of New-Tot G SCH Calc",'Pivot Table for Fact Book'!$A$3,"State","SC","type",6,"Type2","Four-Year")</f>
        <v>2646</v>
      </c>
      <c r="N58" s="195">
        <f>GETPIVOTDATA("Sum of Old-Tot G SCH Calc",'Pivot Table for Fact Book'!$A$3,"State","SC","type",15,"Type2","Four-Year")</f>
        <v>0</v>
      </c>
      <c r="O58" s="116">
        <f>GETPIVOTDATA("Sum of New-Tot G SCH Calc",'Pivot Table for Fact Book'!$A$3,"State","SC","type",15,"Type2","Four-Year")</f>
        <v>0</v>
      </c>
      <c r="P58" s="196">
        <f>GETPIVOTDATA("Sum of Old-Tot G SCH Calc",'Pivot Table for Fact Book'!$A$3,"State","SC","Type2","Four-Year")</f>
        <v>243146</v>
      </c>
      <c r="Q58" s="196">
        <f>GETPIVOTDATA("Sum of New-Tot G SCH Calc",'Pivot Table for Fact Book'!$A$3,"State","SC","Type2","Four-Year")</f>
        <v>247988.5</v>
      </c>
      <c r="R58" s="195">
        <f>GETPIVOTDATA("Sum of Old-Tot G SCH Calc",'Pivot Table for Fact Book'!$A$3,"State","SC","type",7,"Type2","Two-Year")</f>
        <v>0</v>
      </c>
      <c r="S58" s="197">
        <f>GETPIVOTDATA("Sum of New-Tot G SCH Calc",'Pivot Table for Fact Book'!$A$3,"State","SC","type",7,"Type2","Two-Year")</f>
        <v>0</v>
      </c>
      <c r="T58" s="197">
        <f>GETPIVOTDATA("Sum of Old-Tot G SCH Calc",'Pivot Table for Fact Book'!$A$3,"State","SC","type",8,"Type2","Two-Year")</f>
        <v>0</v>
      </c>
      <c r="U58" s="197">
        <f>GETPIVOTDATA("Sum of New-Tot G SCH Calc",'Pivot Table for Fact Book'!$A$3,"State","SC","type",8,"Type2","Two-Year")</f>
        <v>0</v>
      </c>
      <c r="V58" s="197">
        <f>GETPIVOTDATA("Sum of Old-Tot G SCH Calc",'Pivot Table for Fact Book'!$A$3,"State","SC","type",9,"Type2","Two-Year")</f>
        <v>0</v>
      </c>
      <c r="W58" s="197">
        <f>GETPIVOTDATA("Sum of New-Tot G SCH Calc",'Pivot Table for Fact Book'!$A$3,"State","SC","type",9,"Type2","Two-Year")</f>
        <v>0</v>
      </c>
      <c r="X58" s="197">
        <f>GETPIVOTDATA("Sum of Old-Tot G SCH Calc",'Pivot Table for Fact Book'!$A$3,"State","SC","type",10,"Type2","Two-Year")</f>
        <v>0</v>
      </c>
      <c r="Y58" s="197">
        <f>GETPIVOTDATA("Sum of New-Tot G SCH Calc",'Pivot Table for Fact Book'!$A$3,"State","SC","type",10,"Type2","Two-Year")</f>
        <v>0</v>
      </c>
      <c r="Z58" s="198">
        <f>GETPIVOTDATA("Sum of Old-Tot G SCH Calc",'Pivot Table for Fact Book'!$A$3,"State","SC","Type2","Two-Year")</f>
        <v>0</v>
      </c>
      <c r="AA58" s="198">
        <f>GETPIVOTDATA("Sum of New-Tot G SCH Calc",'Pivot Table for Fact Book'!$A$3,"State","SC","Type2","Two-Year")</f>
        <v>0</v>
      </c>
      <c r="AB58" s="195">
        <f>GETPIVOTDATA("Sum of Old-Tot G SCH Calc",'Pivot Table for Fact Book'!$A$3,"State","SC","type",12,"Type2","Technical")</f>
        <v>0</v>
      </c>
      <c r="AC58" s="197">
        <f>GETPIVOTDATA("Sum of New-Tot G SCH Calc",'Pivot Table for Fact Book'!$A$3,"State","SC","type",12,"Type2","Technical")</f>
        <v>0</v>
      </c>
      <c r="AD58" s="197">
        <f>GETPIVOTDATA("Sum of Old-Tot G SCH Calc",'Pivot Table for Fact Book'!$A$3,"State","SC","type",13,"Type2","Technical")</f>
        <v>0</v>
      </c>
      <c r="AE58" s="197">
        <f>GETPIVOTDATA("Sum of New-Tot G SCH Calc",'Pivot Table for Fact Book'!$A$3,"State","SC","type",13,"Type2","Technical")</f>
        <v>0</v>
      </c>
      <c r="AF58" s="197">
        <f>GETPIVOTDATA("Sum of Old-Tot G SCH Calc",'Pivot Table for Fact Book'!$A$3,"State","SC","type",14,"Type2","Technical")</f>
        <v>0</v>
      </c>
      <c r="AG58" s="197">
        <f>GETPIVOTDATA("Sum of New-Tot G SCH Calc",'Pivot Table for Fact Book'!$A$3,"State","SC","type",14,"Type2","Technical")</f>
        <v>0</v>
      </c>
      <c r="AH58" s="199">
        <f>GETPIVOTDATA("Sum of Old-Tot G SCH Calc",'Pivot Table for Fact Book'!$A$3,"State","SC","Type2","Technical")</f>
        <v>0</v>
      </c>
      <c r="AI58" s="199">
        <f>GETPIVOTDATA("Sum of New-Tot G SCH Calc",'Pivot Table for Fact Book'!$A$3,"State","SC","Type2","Technical")</f>
        <v>0</v>
      </c>
      <c r="AJ58" s="1"/>
    </row>
    <row r="59" spans="1:36">
      <c r="A59" s="175" t="s">
        <v>229</v>
      </c>
      <c r="B59" s="195">
        <f>GETPIVOTDATA("Sum of Old-Tot G SCH Calc",'Pivot Table for Fact Book'!$A$3,"State","TN","type",1,"Type2","Four-Year")</f>
        <v>0</v>
      </c>
      <c r="C59" s="116">
        <f>GETPIVOTDATA("Sum of New-Tot G SCH Calc",'Pivot Table for Fact Book'!$A$3,"State","TN","type",1,"Type2","Four-Year")</f>
        <v>122357</v>
      </c>
      <c r="D59" s="195">
        <f>GETPIVOTDATA("Sum of Old-Tot G SCH Calc",'Pivot Table for Fact Book'!$A$3,"State","TN","type",2,"Type2","Four-Year")</f>
        <v>0</v>
      </c>
      <c r="E59" s="116">
        <f>GETPIVOTDATA("Sum of New-Tot G SCH Calc",'Pivot Table for Fact Book'!$A$3,"State","TN","type",2,"Type2","Four-Year")</f>
        <v>76532</v>
      </c>
      <c r="F59" s="195">
        <f>GETPIVOTDATA("Sum of Old-Tot G SCH Calc",'Pivot Table for Fact Book'!$A$3,"State","TN","type",3,"Type2","Four-Year")</f>
        <v>0</v>
      </c>
      <c r="G59" s="116">
        <f>GETPIVOTDATA("Sum of New-Tot G SCH Calc",'Pivot Table for Fact Book'!$A$3,"State","TN","type",3,"Type2","Four-Year")</f>
        <v>135710</v>
      </c>
      <c r="H59" s="195">
        <f>GETPIVOTDATA("Sum of Old-Tot G SCH Calc",'Pivot Table for Fact Book'!$A$3,"State","TN","type",4,"Type2","Four-Year")</f>
        <v>0</v>
      </c>
      <c r="I59" s="116">
        <f>GETPIVOTDATA("Sum of New-Tot G SCH Calc",'Pivot Table for Fact Book'!$A$3,"State","TN","type",4,"Type2","Four-Year")</f>
        <v>44582</v>
      </c>
      <c r="J59" s="195">
        <f>GETPIVOTDATA("Sum of Old-Tot G SCH Calc",'Pivot Table for Fact Book'!$A$3,"State","TN","type",5,"Type2","Four-Year")</f>
        <v>0</v>
      </c>
      <c r="K59" s="116">
        <f>GETPIVOTDATA("Sum of New-Tot G SCH Calc",'Pivot Table for Fact Book'!$A$3,"State","TN","type",5,"Type2","Four-Year")</f>
        <v>6274</v>
      </c>
      <c r="L59" s="195">
        <f>GETPIVOTDATA("Sum of Old-Tot G SCH Calc",'Pivot Table for Fact Book'!$A$3,"State","TN","type",6,"Type2","Four-Year")</f>
        <v>0</v>
      </c>
      <c r="M59" s="116">
        <f>GETPIVOTDATA("Sum of New-Tot G SCH Calc",'Pivot Table for Fact Book'!$A$3,"State","TN","type",6,"Type2","Four-Year")</f>
        <v>0</v>
      </c>
      <c r="N59" s="195">
        <f>GETPIVOTDATA("Sum of Old-Tot G SCH Calc",'Pivot Table for Fact Book'!$A$3,"State","TN","type",15,"Type2","Four-Year")</f>
        <v>0</v>
      </c>
      <c r="O59" s="116">
        <f>GETPIVOTDATA("Sum of New-Tot G SCH Calc",'Pivot Table for Fact Book'!$A$3,"State","TN","type",15,"Type2","Four-Year")</f>
        <v>0</v>
      </c>
      <c r="P59" s="196">
        <f>GETPIVOTDATA("Sum of Old-Tot G SCH Calc",'Pivot Table for Fact Book'!$A$3,"State","TN","Type2","Four-Year")</f>
        <v>0</v>
      </c>
      <c r="Q59" s="196">
        <f>GETPIVOTDATA("Sum of New-Tot G SCH Calc",'Pivot Table for Fact Book'!$A$3,"State","TN","Type2","Four-Year")</f>
        <v>385455</v>
      </c>
      <c r="R59" s="195">
        <f>GETPIVOTDATA("Sum of Old-Tot G SCH Calc",'Pivot Table for Fact Book'!$A$3,"State","TN","type",7,"Type2","Two-Year")</f>
        <v>0</v>
      </c>
      <c r="S59" s="197">
        <f>GETPIVOTDATA("Sum of New-Tot G SCH Calc",'Pivot Table for Fact Book'!$A$3,"State","TN","type",7,"Type2","Two-Year")</f>
        <v>0</v>
      </c>
      <c r="T59" s="197">
        <f>GETPIVOTDATA("Sum of Old-Tot G SCH Calc",'Pivot Table for Fact Book'!$A$3,"State","TN","type",8,"Type2","Two-Year")</f>
        <v>0</v>
      </c>
      <c r="U59" s="197">
        <f>GETPIVOTDATA("Sum of New-Tot G SCH Calc",'Pivot Table for Fact Book'!$A$3,"State","TN","type",8,"Type2","Two-Year")</f>
        <v>0</v>
      </c>
      <c r="V59" s="197">
        <f>GETPIVOTDATA("Sum of Old-Tot G SCH Calc",'Pivot Table for Fact Book'!$A$3,"State","TN","type",9,"Type2","Two-Year")</f>
        <v>0</v>
      </c>
      <c r="W59" s="197">
        <f>GETPIVOTDATA("Sum of New-Tot G SCH Calc",'Pivot Table for Fact Book'!$A$3,"State","TN","type",9,"Type2","Two-Year")</f>
        <v>0</v>
      </c>
      <c r="X59" s="197">
        <f>GETPIVOTDATA("Sum of Old-Tot G SCH Calc",'Pivot Table for Fact Book'!$A$3,"State","TN","type",10,"Type2","Two-Year")</f>
        <v>0</v>
      </c>
      <c r="Y59" s="197">
        <f>GETPIVOTDATA("Sum of New-Tot G SCH Calc",'Pivot Table for Fact Book'!$A$3,"State","TN","type",10,"Type2","Two-Year")</f>
        <v>0</v>
      </c>
      <c r="Z59" s="198">
        <f>GETPIVOTDATA("Sum of Old-Tot G SCH Calc",'Pivot Table for Fact Book'!$A$3,"State","TN","Type2","Two-Year")</f>
        <v>0</v>
      </c>
      <c r="AA59" s="198">
        <f>GETPIVOTDATA("Sum of New-Tot G SCH Calc",'Pivot Table for Fact Book'!$A$3,"State","TN","Type2","Two-Year")</f>
        <v>0</v>
      </c>
      <c r="AB59" s="195">
        <f>GETPIVOTDATA("Sum of Old-Tot G SCH Calc",'Pivot Table for Fact Book'!$A$3,"State","TN","type",12,"Type2","Technical")</f>
        <v>0</v>
      </c>
      <c r="AC59" s="197">
        <f>GETPIVOTDATA("Sum of New-Tot G SCH Calc",'Pivot Table for Fact Book'!$A$3,"State","TN","type",12,"Type2","Technical")</f>
        <v>0</v>
      </c>
      <c r="AD59" s="197">
        <f>GETPIVOTDATA("Sum of Old-Tot G SCH Calc",'Pivot Table for Fact Book'!$A$3,"State","TN","type",13,"Type2","Technical")</f>
        <v>0</v>
      </c>
      <c r="AE59" s="197">
        <f>GETPIVOTDATA("Sum of New-Tot G SCH Calc",'Pivot Table for Fact Book'!$A$3,"State","TN","type",13,"Type2","Technical")</f>
        <v>0</v>
      </c>
      <c r="AF59" s="197">
        <f>GETPIVOTDATA("Sum of Old-Tot G SCH Calc",'Pivot Table for Fact Book'!$A$3,"State","TN","type",14,"Type2","Technical")</f>
        <v>0</v>
      </c>
      <c r="AG59" s="197">
        <f>GETPIVOTDATA("Sum of New-Tot G SCH Calc",'Pivot Table for Fact Book'!$A$3,"State","TN","type",14,"Type2","Technical")</f>
        <v>0</v>
      </c>
      <c r="AH59" s="199">
        <f>GETPIVOTDATA("Sum of Old-Tot G SCH Calc",'Pivot Table for Fact Book'!$A$3,"State","TN","Type2","Technical")</f>
        <v>0</v>
      </c>
      <c r="AI59" s="199">
        <f>GETPIVOTDATA("Sum of New-Tot G SCH Calc",'Pivot Table for Fact Book'!$A$3,"State","TN","Type2","Technical")</f>
        <v>0</v>
      </c>
      <c r="AJ59" s="1"/>
    </row>
    <row r="60" spans="1:36">
      <c r="A60" s="175" t="s">
        <v>213</v>
      </c>
      <c r="B60" s="195">
        <f>GETPIVOTDATA("Sum of Old-Tot G SCH Calc",'Pivot Table for Fact Book'!$A$3,"State","TX","type",1,"Type2","Four-Year")</f>
        <v>966526</v>
      </c>
      <c r="C60" s="116">
        <f>GETPIVOTDATA("Sum of New-Tot G SCH Calc",'Pivot Table for Fact Book'!$A$3,"State","TX","type",1,"Type2","Four-Year")</f>
        <v>991581</v>
      </c>
      <c r="D60" s="195">
        <f>GETPIVOTDATA("Sum of Old-Tot G SCH Calc",'Pivot Table for Fact Book'!$A$3,"State","TX","type",2,"Type2","Four-Year")</f>
        <v>135435</v>
      </c>
      <c r="E60" s="116">
        <f>GETPIVOTDATA("Sum of New-Tot G SCH Calc",'Pivot Table for Fact Book'!$A$3,"State","TX","type",2,"Type2","Four-Year")</f>
        <v>137809</v>
      </c>
      <c r="F60" s="195">
        <f>GETPIVOTDATA("Sum of Old-Tot G SCH Calc",'Pivot Table for Fact Book'!$A$3,"State","TX","type",3,"Type2","Four-Year")</f>
        <v>583778</v>
      </c>
      <c r="G60" s="116">
        <f>GETPIVOTDATA("Sum of New-Tot G SCH Calc",'Pivot Table for Fact Book'!$A$3,"State","TX","type",3,"Type2","Four-Year")</f>
        <v>640295</v>
      </c>
      <c r="H60" s="195">
        <f>GETPIVOTDATA("Sum of Old-Tot G SCH Calc",'Pivot Table for Fact Book'!$A$3,"State","TX","type",4,"Type2","Four-Year")</f>
        <v>42571</v>
      </c>
      <c r="I60" s="116">
        <f>GETPIVOTDATA("Sum of New-Tot G SCH Calc",'Pivot Table for Fact Book'!$A$3,"State","TX","type",4,"Type2","Four-Year")</f>
        <v>45243</v>
      </c>
      <c r="J60" s="195">
        <f>GETPIVOTDATA("Sum of Old-Tot G SCH Calc",'Pivot Table for Fact Book'!$A$3,"State","TX","type",5,"Type2","Four-Year")</f>
        <v>24947</v>
      </c>
      <c r="K60" s="116">
        <f>GETPIVOTDATA("Sum of New-Tot G SCH Calc",'Pivot Table for Fact Book'!$A$3,"State","TX","type",5,"Type2","Four-Year")</f>
        <v>27491</v>
      </c>
      <c r="L60" s="195">
        <f>GETPIVOTDATA("Sum of Old-Tot G SCH Calc",'Pivot Table for Fact Book'!$A$3,"State","TX","type",6,"Type2","Four-Year")</f>
        <v>604</v>
      </c>
      <c r="M60" s="116">
        <f>GETPIVOTDATA("Sum of New-Tot G SCH Calc",'Pivot Table for Fact Book'!$A$3,"State","TX","type",6,"Type2","Four-Year")</f>
        <v>824</v>
      </c>
      <c r="N60" s="195">
        <f>GETPIVOTDATA("Sum of Old-Tot G SCH Calc",'Pivot Table for Fact Book'!$A$3,"State","TX","type",15,"Type2","Four-Year")</f>
        <v>0</v>
      </c>
      <c r="O60" s="116">
        <f>GETPIVOTDATA("Sum of New-Tot G SCH Calc",'Pivot Table for Fact Book'!$A$3,"State","TX","type",15,"Type2","Four-Year")</f>
        <v>0</v>
      </c>
      <c r="P60" s="196">
        <f>GETPIVOTDATA("Sum of Old-Tot G SCH Calc",'Pivot Table for Fact Book'!$A$3,"State","TX","Type2","Four-Year")</f>
        <v>1753861</v>
      </c>
      <c r="Q60" s="196">
        <f>GETPIVOTDATA("Sum of New-Tot G SCH Calc",'Pivot Table for Fact Book'!$A$3,"State","TX","Type2","Four-Year")</f>
        <v>1843243</v>
      </c>
      <c r="R60" s="195">
        <f>GETPIVOTDATA("Sum of Old-Tot G SCH Calc",'Pivot Table for Fact Book'!$A$3,"State","TX","type",7,"Type2","Two-Year")</f>
        <v>0</v>
      </c>
      <c r="S60" s="197">
        <f>GETPIVOTDATA("Sum of New-Tot G SCH Calc",'Pivot Table for Fact Book'!$A$3,"State","TX","type",7,"Type2","Two-Year")</f>
        <v>0</v>
      </c>
      <c r="T60" s="197">
        <f>GETPIVOTDATA("Sum of Old-Tot G SCH Calc",'Pivot Table for Fact Book'!$A$3,"State","TX","type",8,"Type2","Two-Year")</f>
        <v>0</v>
      </c>
      <c r="U60" s="197">
        <f>GETPIVOTDATA("Sum of New-Tot G SCH Calc",'Pivot Table for Fact Book'!$A$3,"State","TX","type",8,"Type2","Two-Year")</f>
        <v>0</v>
      </c>
      <c r="V60" s="197">
        <f>GETPIVOTDATA("Sum of Old-Tot G SCH Calc",'Pivot Table for Fact Book'!$A$3,"State","TX","type",9,"Type2","Two-Year")</f>
        <v>0</v>
      </c>
      <c r="W60" s="197">
        <f>GETPIVOTDATA("Sum of New-Tot G SCH Calc",'Pivot Table for Fact Book'!$A$3,"State","TX","type",9,"Type2","Two-Year")</f>
        <v>0</v>
      </c>
      <c r="X60" s="197">
        <f>GETPIVOTDATA("Sum of Old-Tot G SCH Calc",'Pivot Table for Fact Book'!$A$3,"State","TX","type",10,"Type2","Two-Year")</f>
        <v>0</v>
      </c>
      <c r="Y60" s="197">
        <f>GETPIVOTDATA("Sum of New-Tot G SCH Calc",'Pivot Table for Fact Book'!$A$3,"State","TX","type",10,"Type2","Two-Year")</f>
        <v>0</v>
      </c>
      <c r="Z60" s="198">
        <f>GETPIVOTDATA("Sum of Old-Tot G SCH Calc",'Pivot Table for Fact Book'!$A$3,"State","TX","Type2","Two-Year")</f>
        <v>0</v>
      </c>
      <c r="AA60" s="198">
        <f>GETPIVOTDATA("Sum of New-Tot G SCH Calc",'Pivot Table for Fact Book'!$A$3,"State","TX","Type2","Two-Year")</f>
        <v>0</v>
      </c>
      <c r="AB60" s="195">
        <f>GETPIVOTDATA("Sum of Old-Tot G SCH Calc",'Pivot Table for Fact Book'!$A$3,"State","TX","type",12,"Type2","Technical")</f>
        <v>0</v>
      </c>
      <c r="AC60" s="197">
        <f>GETPIVOTDATA("Sum of New-Tot G SCH Calc",'Pivot Table for Fact Book'!$A$3,"State","TX","type",12,"Type2","Technical")</f>
        <v>0</v>
      </c>
      <c r="AD60" s="197">
        <f>GETPIVOTDATA("Sum of Old-Tot G SCH Calc",'Pivot Table for Fact Book'!$A$3,"State","TX","type",13,"Type2","Technical")</f>
        <v>0</v>
      </c>
      <c r="AE60" s="197">
        <f>GETPIVOTDATA("Sum of New-Tot G SCH Calc",'Pivot Table for Fact Book'!$A$3,"State","TX","type",13,"Type2","Technical")</f>
        <v>0</v>
      </c>
      <c r="AF60" s="197">
        <f>GETPIVOTDATA("Sum of Old-Tot G SCH Calc",'Pivot Table for Fact Book'!$A$3,"State","TX","type",14,"Type2","Technical")</f>
        <v>0</v>
      </c>
      <c r="AG60" s="197">
        <f>GETPIVOTDATA("Sum of New-Tot G SCH Calc",'Pivot Table for Fact Book'!$A$3,"State","TX","type",14,"Type2","Technical")</f>
        <v>0</v>
      </c>
      <c r="AH60" s="199">
        <f>GETPIVOTDATA("Sum of Old-Tot G SCH Calc",'Pivot Table for Fact Book'!$A$3,"State","TX","Type2","Technical")</f>
        <v>0</v>
      </c>
      <c r="AI60" s="199">
        <f>GETPIVOTDATA("Sum of New-Tot G SCH Calc",'Pivot Table for Fact Book'!$A$3,"State","TX","Type2","Technical")</f>
        <v>0</v>
      </c>
      <c r="AJ60" s="1"/>
    </row>
    <row r="61" spans="1:36">
      <c r="A61" s="175" t="s">
        <v>230</v>
      </c>
      <c r="B61" s="195">
        <f>GETPIVOTDATA("Sum of Old-Tot G SCH Calc",'Pivot Table for Fact Book'!$A$3,"State","VA","type",1,"Type2","Four-Year")</f>
        <v>0</v>
      </c>
      <c r="C61" s="116">
        <f>GETPIVOTDATA("Sum of New-Tot G SCH Calc",'Pivot Table for Fact Book'!$A$3,"State","VA","type",1,"Type2","Four-Year")</f>
        <v>0</v>
      </c>
      <c r="D61" s="195">
        <f>GETPIVOTDATA("Sum of Old-Tot G SCH Calc",'Pivot Table for Fact Book'!$A$3,"State","VA","type",2,"Type2","Four-Year")</f>
        <v>0</v>
      </c>
      <c r="E61" s="116">
        <f>GETPIVOTDATA("Sum of New-Tot G SCH Calc",'Pivot Table for Fact Book'!$A$3,"State","VA","type",2,"Type2","Four-Year")</f>
        <v>0</v>
      </c>
      <c r="F61" s="195">
        <f>GETPIVOTDATA("Sum of Old-Tot G SCH Calc",'Pivot Table for Fact Book'!$A$3,"State","VA","type",3,"Type2","Four-Year")</f>
        <v>0</v>
      </c>
      <c r="G61" s="116">
        <f>GETPIVOTDATA("Sum of New-Tot G SCH Calc",'Pivot Table for Fact Book'!$A$3,"State","VA","type",3,"Type2","Four-Year")</f>
        <v>0</v>
      </c>
      <c r="H61" s="195">
        <f>GETPIVOTDATA("Sum of Old-Tot G SCH Calc",'Pivot Table for Fact Book'!$A$3,"State","VA","type",4,"Type2","Four-Year")</f>
        <v>0</v>
      </c>
      <c r="I61" s="116">
        <f>GETPIVOTDATA("Sum of New-Tot G SCH Calc",'Pivot Table for Fact Book'!$A$3,"State","VA","type",4,"Type2","Four-Year")</f>
        <v>0</v>
      </c>
      <c r="J61" s="195">
        <f>GETPIVOTDATA("Sum of Old-Tot G SCH Calc",'Pivot Table for Fact Book'!$A$3,"State","VA","type",5,"Type2","Four-Year")</f>
        <v>0</v>
      </c>
      <c r="K61" s="116">
        <f>GETPIVOTDATA("Sum of New-Tot G SCH Calc",'Pivot Table for Fact Book'!$A$3,"State","VA","type",5,"Type2","Four-Year")</f>
        <v>0</v>
      </c>
      <c r="L61" s="195">
        <f>GETPIVOTDATA("Sum of Old-Tot G SCH Calc",'Pivot Table for Fact Book'!$A$3,"State","VA","type",6,"Type2","Four-Year")</f>
        <v>0</v>
      </c>
      <c r="M61" s="116">
        <f>GETPIVOTDATA("Sum of New-Tot G SCH Calc",'Pivot Table for Fact Book'!$A$3,"State","VA","type",6,"Type2","Four-Year")</f>
        <v>0</v>
      </c>
      <c r="N61" s="195">
        <f>GETPIVOTDATA("Sum of Old-Tot G SCH Calc",'Pivot Table for Fact Book'!$A$3,"State","VA","type",15,"Type2","Four-Year")</f>
        <v>0</v>
      </c>
      <c r="O61" s="116">
        <f>GETPIVOTDATA("Sum of New-Tot G SCH Calc",'Pivot Table for Fact Book'!$A$3,"State","VA","type",15,"Type2","Four-Year")</f>
        <v>0</v>
      </c>
      <c r="P61" s="196">
        <f>GETPIVOTDATA("Sum of Old-Tot G SCH Calc",'Pivot Table for Fact Book'!$A$3,"State","VA","Type2","Four-Year")</f>
        <v>0</v>
      </c>
      <c r="Q61" s="196">
        <f>GETPIVOTDATA("Sum of New-Tot G SCH Calc",'Pivot Table for Fact Book'!$A$3,"State","VA","Type2","Four-Year")</f>
        <v>0</v>
      </c>
      <c r="R61" s="195">
        <f>GETPIVOTDATA("Sum of Old-Tot G SCH Calc",'Pivot Table for Fact Book'!$A$3,"State","VA","type",7,"Type2","Two-Year")</f>
        <v>0</v>
      </c>
      <c r="S61" s="197">
        <f>GETPIVOTDATA("Sum of New-Tot G SCH Calc",'Pivot Table for Fact Book'!$A$3,"State","VA","type",7,"Type2","Two-Year")</f>
        <v>0</v>
      </c>
      <c r="T61" s="197">
        <f>GETPIVOTDATA("Sum of Old-Tot G SCH Calc",'Pivot Table for Fact Book'!$A$3,"State","VA","type",8,"Type2","Two-Year")</f>
        <v>0</v>
      </c>
      <c r="U61" s="197">
        <f>GETPIVOTDATA("Sum of New-Tot G SCH Calc",'Pivot Table for Fact Book'!$A$3,"State","VA","type",8,"Type2","Two-Year")</f>
        <v>0</v>
      </c>
      <c r="V61" s="197">
        <f>GETPIVOTDATA("Sum of Old-Tot G SCH Calc",'Pivot Table for Fact Book'!$A$3,"State","VA","type",9,"Type2","Two-Year")</f>
        <v>0</v>
      </c>
      <c r="W61" s="197">
        <f>GETPIVOTDATA("Sum of New-Tot G SCH Calc",'Pivot Table for Fact Book'!$A$3,"State","VA","type",9,"Type2","Two-Year")</f>
        <v>0</v>
      </c>
      <c r="X61" s="197">
        <f>GETPIVOTDATA("Sum of Old-Tot G SCH Calc",'Pivot Table for Fact Book'!$A$3,"State","VA","type",10,"Type2","Two-Year")</f>
        <v>0</v>
      </c>
      <c r="Y61" s="197">
        <f>GETPIVOTDATA("Sum of New-Tot G SCH Calc",'Pivot Table for Fact Book'!$A$3,"State","VA","type",10,"Type2","Two-Year")</f>
        <v>0</v>
      </c>
      <c r="Z61" s="198">
        <f>GETPIVOTDATA("Sum of Old-Tot G SCH Calc",'Pivot Table for Fact Book'!$A$3,"State","VA","Type2","Two-Year")</f>
        <v>0</v>
      </c>
      <c r="AA61" s="198">
        <f>GETPIVOTDATA("Sum of New-Tot G SCH Calc",'Pivot Table for Fact Book'!$A$3,"State","VA","Type2","Two-Year")</f>
        <v>0</v>
      </c>
      <c r="AB61" s="195">
        <f>GETPIVOTDATA("Sum of Old-Tot G SCH Calc",'Pivot Table for Fact Book'!$A$3,"State","VA","type",12,"Type2","Technical")</f>
        <v>0</v>
      </c>
      <c r="AC61" s="197">
        <f>GETPIVOTDATA("Sum of New-Tot G SCH Calc",'Pivot Table for Fact Book'!$A$3,"State","VA","type",12,"Type2","Technical")</f>
        <v>0</v>
      </c>
      <c r="AD61" s="197">
        <f>GETPIVOTDATA("Sum of Old-Tot G SCH Calc",'Pivot Table for Fact Book'!$A$3,"State","VA","type",13,"Type2","Technical")</f>
        <v>0</v>
      </c>
      <c r="AE61" s="197">
        <f>GETPIVOTDATA("Sum of New-Tot G SCH Calc",'Pivot Table for Fact Book'!$A$3,"State","VA","type",13,"Type2","Technical")</f>
        <v>0</v>
      </c>
      <c r="AF61" s="197">
        <f>GETPIVOTDATA("Sum of Old-Tot G SCH Calc",'Pivot Table for Fact Book'!$A$3,"State","VA","type",14,"Type2","Technical")</f>
        <v>0</v>
      </c>
      <c r="AG61" s="197">
        <f>GETPIVOTDATA("Sum of New-Tot G SCH Calc",'Pivot Table for Fact Book'!$A$3,"State","VA","type",14,"Type2","Technical")</f>
        <v>0</v>
      </c>
      <c r="AH61" s="199">
        <f>GETPIVOTDATA("Sum of Old-Tot G SCH Calc",'Pivot Table for Fact Book'!$A$3,"State","VA","Type2","Technical")</f>
        <v>0</v>
      </c>
      <c r="AI61" s="199">
        <f>GETPIVOTDATA("Sum of New-Tot G SCH Calc",'Pivot Table for Fact Book'!$A$3,"State","VA","Type2","Technical")</f>
        <v>0</v>
      </c>
      <c r="AJ61" s="1"/>
    </row>
    <row r="62" spans="1:36">
      <c r="A62" s="175" t="s">
        <v>206</v>
      </c>
      <c r="B62" s="195">
        <f>GETPIVOTDATA("Sum of Old-Tot G SCH Calc",'Pivot Table for Fact Book'!$A$3,"State","WV","type",1,"Type2","Four-Year")</f>
        <v>111142</v>
      </c>
      <c r="C62" s="116">
        <f>GETPIVOTDATA("Sum of New-Tot G SCH Calc",'Pivot Table for Fact Book'!$A$3,"State","WV","type",1,"Type2","Four-Year")</f>
        <v>111195</v>
      </c>
      <c r="D62" s="195">
        <f>GETPIVOTDATA("Sum of Old-Tot G SCH Calc",'Pivot Table for Fact Book'!$A$3,"State","WV","type",2,"Type2","Four-Year")</f>
        <v>0</v>
      </c>
      <c r="E62" s="116">
        <f>GETPIVOTDATA("Sum of New-Tot G SCH Calc",'Pivot Table for Fact Book'!$A$3,"State","WV","type",2,"Type2","Four-Year")</f>
        <v>0</v>
      </c>
      <c r="F62" s="195">
        <f>GETPIVOTDATA("Sum of Old-Tot G SCH Calc",'Pivot Table for Fact Book'!$A$3,"State","WV","type",3,"Type2","Four-Year")</f>
        <v>57249</v>
      </c>
      <c r="G62" s="116">
        <f>GETPIVOTDATA("Sum of New-Tot G SCH Calc",'Pivot Table for Fact Book'!$A$3,"State","WV","type",3,"Type2","Four-Year")</f>
        <v>56858</v>
      </c>
      <c r="H62" s="195">
        <f>GETPIVOTDATA("Sum of Old-Tot G SCH Calc",'Pivot Table for Fact Book'!$A$3,"State","WV","type",4,"Type2","Four-Year")</f>
        <v>0</v>
      </c>
      <c r="I62" s="116">
        <f>GETPIVOTDATA("Sum of New-Tot G SCH Calc",'Pivot Table for Fact Book'!$A$3,"State","WV","type",4,"Type2","Four-Year")</f>
        <v>0</v>
      </c>
      <c r="J62" s="195">
        <f>GETPIVOTDATA("Sum of Old-Tot G SCH Calc",'Pivot Table for Fact Book'!$A$3,"State","WV","type",5,"Type2","Four-Year")</f>
        <v>0</v>
      </c>
      <c r="K62" s="116">
        <f>GETPIVOTDATA("Sum of New-Tot G SCH Calc",'Pivot Table for Fact Book'!$A$3,"State","WV","type",5,"Type2","Four-Year")</f>
        <v>0</v>
      </c>
      <c r="L62" s="195">
        <f>GETPIVOTDATA("Sum of Old-Tot G SCH Calc",'Pivot Table for Fact Book'!$A$3,"State","WV","type",6,"Type2","Four-Year")</f>
        <v>9527</v>
      </c>
      <c r="M62" s="116">
        <f>GETPIVOTDATA("Sum of New-Tot G SCH Calc",'Pivot Table for Fact Book'!$A$3,"State","WV","type",6,"Type2","Four-Year")</f>
        <v>10902</v>
      </c>
      <c r="N62" s="195">
        <f>GETPIVOTDATA("Sum of Old-Tot G SCH Calc",'Pivot Table for Fact Book'!$A$3,"State","WV","type",15,"Type2","Four-Year")</f>
        <v>0</v>
      </c>
      <c r="O62" s="116">
        <f>GETPIVOTDATA("Sum of New-Tot G SCH Calc",'Pivot Table for Fact Book'!$A$3,"State","WV","type",15,"Type2","Four-Year")</f>
        <v>0</v>
      </c>
      <c r="P62" s="196">
        <f>GETPIVOTDATA("Sum of Old-Tot G SCH Calc",'Pivot Table for Fact Book'!$A$3,"State","WV","Type2","Four-Year")</f>
        <v>177918</v>
      </c>
      <c r="Q62" s="196">
        <f>GETPIVOTDATA("Sum of New-Tot G SCH Calc",'Pivot Table for Fact Book'!$A$3,"State","WV","Type2","Four-Year")</f>
        <v>178955</v>
      </c>
      <c r="R62" s="195">
        <f>GETPIVOTDATA("Sum of Old-Tot G SCH Calc",'Pivot Table for Fact Book'!$A$3,"State","WV","type",7,"Type2","Two-Year")</f>
        <v>0</v>
      </c>
      <c r="S62" s="197">
        <f>GETPIVOTDATA("Sum of New-Tot G SCH Calc",'Pivot Table for Fact Book'!$A$3,"State","WV","type",7,"Type2","Two-Year")</f>
        <v>0</v>
      </c>
      <c r="T62" s="197">
        <f>GETPIVOTDATA("Sum of Old-Tot G SCH Calc",'Pivot Table for Fact Book'!$A$3,"State","WV","type",8,"Type2","Two-Year")</f>
        <v>0</v>
      </c>
      <c r="U62" s="197">
        <f>GETPIVOTDATA("Sum of New-Tot G SCH Calc",'Pivot Table for Fact Book'!$A$3,"State","WV","type",8,"Type2","Two-Year")</f>
        <v>0</v>
      </c>
      <c r="V62" s="197">
        <f>GETPIVOTDATA("Sum of Old-Tot G SCH Calc",'Pivot Table for Fact Book'!$A$3,"State","WV","type",9,"Type2","Two-Year")</f>
        <v>0</v>
      </c>
      <c r="W62" s="197">
        <f>GETPIVOTDATA("Sum of New-Tot G SCH Calc",'Pivot Table for Fact Book'!$A$3,"State","WV","type",9,"Type2","Two-Year")</f>
        <v>0</v>
      </c>
      <c r="X62" s="197">
        <f>GETPIVOTDATA("Sum of Old-Tot G SCH Calc",'Pivot Table for Fact Book'!$A$3,"State","WV","type",10,"Type2","Two-Year")</f>
        <v>0</v>
      </c>
      <c r="Y62" s="197">
        <f>GETPIVOTDATA("Sum of New-Tot G SCH Calc",'Pivot Table for Fact Book'!$A$3,"State","WV","type",10,"Type2","Two-Year")</f>
        <v>0</v>
      </c>
      <c r="Z62" s="198">
        <f>GETPIVOTDATA("Sum of Old-Tot G SCH Calc",'Pivot Table for Fact Book'!$A$3,"State","WV","Type2","Two-Year")</f>
        <v>0</v>
      </c>
      <c r="AA62" s="198">
        <f>GETPIVOTDATA("Sum of New-Tot G SCH Calc",'Pivot Table for Fact Book'!$A$3,"State","WV","Type2","Two-Year")</f>
        <v>0</v>
      </c>
      <c r="AB62" s="195">
        <f>GETPIVOTDATA("Sum of Old-Tot G SCH Calc",'Pivot Table for Fact Book'!$A$3,"State","WV","type",12,"Type2","Technical")</f>
        <v>0</v>
      </c>
      <c r="AC62" s="197">
        <f>GETPIVOTDATA("Sum of New-Tot G SCH Calc",'Pivot Table for Fact Book'!$A$3,"State","WV","type",12,"Type2","Technical")</f>
        <v>0</v>
      </c>
      <c r="AD62" s="197">
        <f>GETPIVOTDATA("Sum of Old-Tot G SCH Calc",'Pivot Table for Fact Book'!$A$3,"State","WV","type",13,"Type2","Technical")</f>
        <v>0</v>
      </c>
      <c r="AE62" s="197">
        <f>GETPIVOTDATA("Sum of New-Tot G SCH Calc",'Pivot Table for Fact Book'!$A$3,"State","WV","type",13,"Type2","Technical")</f>
        <v>0</v>
      </c>
      <c r="AF62" s="197">
        <f>GETPIVOTDATA("Sum of Old-Tot G SCH Calc",'Pivot Table for Fact Book'!$A$3,"State","WV","type",14,"Type2","Technical")</f>
        <v>0</v>
      </c>
      <c r="AG62" s="197">
        <f>GETPIVOTDATA("Sum of New-Tot G SCH Calc",'Pivot Table for Fact Book'!$A$3,"State","WV","type",14,"Type2","Technical")</f>
        <v>0</v>
      </c>
      <c r="AH62" s="199">
        <f>GETPIVOTDATA("Sum of Old-Tot G SCH Calc",'Pivot Table for Fact Book'!$A$3,"State","WV","Type2","Technical")</f>
        <v>0</v>
      </c>
      <c r="AI62" s="199">
        <f>GETPIVOTDATA("Sum of New-Tot G SCH Calc",'Pivot Table for Fact Book'!$A$3,"State","WV","Type2","Technical")</f>
        <v>0</v>
      </c>
      <c r="AJ62" s="1"/>
    </row>
    <row r="64" spans="1:36">
      <c r="A64" s="149" t="s">
        <v>150</v>
      </c>
    </row>
    <row r="65" spans="1:36">
      <c r="A65" s="111"/>
      <c r="B65" s="176" t="s">
        <v>144</v>
      </c>
      <c r="C65" s="172"/>
      <c r="D65" s="172"/>
      <c r="E65" s="172"/>
      <c r="F65" s="172"/>
      <c r="G65" s="172"/>
      <c r="H65" s="172"/>
      <c r="I65" s="172"/>
      <c r="J65" s="172"/>
      <c r="K65" s="172"/>
      <c r="L65" s="172"/>
      <c r="M65" s="172"/>
      <c r="N65" s="172"/>
      <c r="O65" s="172"/>
      <c r="P65" s="172"/>
      <c r="Q65" s="170"/>
      <c r="R65" s="177" t="s">
        <v>146</v>
      </c>
      <c r="S65" s="173"/>
      <c r="T65" s="173"/>
      <c r="U65" s="173"/>
      <c r="V65" s="173"/>
      <c r="W65" s="173"/>
      <c r="X65" s="173"/>
      <c r="Y65" s="173"/>
      <c r="Z65" s="173"/>
      <c r="AA65" s="171"/>
      <c r="AB65" s="178" t="s">
        <v>147</v>
      </c>
      <c r="AC65" s="174"/>
      <c r="AD65" s="174"/>
      <c r="AE65" s="174"/>
      <c r="AF65" s="174"/>
      <c r="AG65" s="174"/>
      <c r="AH65" s="174"/>
      <c r="AI65" s="174"/>
    </row>
    <row r="66" spans="1:36">
      <c r="B66" s="179">
        <v>1</v>
      </c>
      <c r="C66" s="181"/>
      <c r="D66" s="179">
        <v>2</v>
      </c>
      <c r="E66" s="181"/>
      <c r="F66" s="179">
        <v>3</v>
      </c>
      <c r="G66" s="181"/>
      <c r="H66" s="179">
        <v>4</v>
      </c>
      <c r="I66" s="181"/>
      <c r="J66" s="179">
        <v>5</v>
      </c>
      <c r="K66" s="181"/>
      <c r="L66" s="179">
        <v>6</v>
      </c>
      <c r="M66" s="181"/>
      <c r="N66" s="179">
        <v>15</v>
      </c>
      <c r="O66" s="181"/>
      <c r="P66" s="179" t="s">
        <v>145</v>
      </c>
      <c r="Q66" s="180"/>
      <c r="R66" s="189">
        <v>7</v>
      </c>
      <c r="S66" s="190"/>
      <c r="T66" s="189">
        <v>8</v>
      </c>
      <c r="U66" s="190"/>
      <c r="V66" s="189">
        <v>9</v>
      </c>
      <c r="W66" s="190"/>
      <c r="X66" s="189">
        <v>10</v>
      </c>
      <c r="Y66" s="190"/>
      <c r="Z66" s="189" t="s">
        <v>145</v>
      </c>
      <c r="AA66" s="190"/>
      <c r="AB66" s="191">
        <v>12</v>
      </c>
      <c r="AC66" s="192"/>
      <c r="AD66" s="191">
        <v>13</v>
      </c>
      <c r="AE66" s="192"/>
      <c r="AF66" s="191">
        <v>14</v>
      </c>
      <c r="AG66" s="192"/>
      <c r="AH66" s="191" t="s">
        <v>145</v>
      </c>
      <c r="AI66" s="192"/>
    </row>
    <row r="67" spans="1:36">
      <c r="B67" s="182" t="s">
        <v>143</v>
      </c>
      <c r="C67" s="183" t="s">
        <v>838</v>
      </c>
      <c r="D67" s="182" t="s">
        <v>143</v>
      </c>
      <c r="E67" s="183" t="s">
        <v>838</v>
      </c>
      <c r="F67" s="182" t="s">
        <v>143</v>
      </c>
      <c r="G67" s="183" t="s">
        <v>838</v>
      </c>
      <c r="H67" s="182" t="s">
        <v>143</v>
      </c>
      <c r="I67" s="183" t="s">
        <v>838</v>
      </c>
      <c r="J67" s="182" t="s">
        <v>143</v>
      </c>
      <c r="K67" s="183" t="s">
        <v>838</v>
      </c>
      <c r="L67" s="182" t="s">
        <v>143</v>
      </c>
      <c r="M67" s="183" t="s">
        <v>838</v>
      </c>
      <c r="N67" s="182" t="s">
        <v>143</v>
      </c>
      <c r="O67" s="183" t="s">
        <v>838</v>
      </c>
      <c r="P67" s="182" t="s">
        <v>143</v>
      </c>
      <c r="Q67" s="184" t="s">
        <v>838</v>
      </c>
      <c r="R67" s="185" t="s">
        <v>143</v>
      </c>
      <c r="S67" s="186" t="s">
        <v>838</v>
      </c>
      <c r="T67" s="185" t="s">
        <v>143</v>
      </c>
      <c r="U67" s="186" t="s">
        <v>838</v>
      </c>
      <c r="V67" s="185" t="s">
        <v>143</v>
      </c>
      <c r="W67" s="186" t="s">
        <v>838</v>
      </c>
      <c r="X67" s="185" t="s">
        <v>143</v>
      </c>
      <c r="Y67" s="186" t="s">
        <v>838</v>
      </c>
      <c r="Z67" s="185" t="s">
        <v>143</v>
      </c>
      <c r="AA67" s="193" t="s">
        <v>838</v>
      </c>
      <c r="AB67" s="187" t="s">
        <v>143</v>
      </c>
      <c r="AC67" s="188" t="s">
        <v>838</v>
      </c>
      <c r="AD67" s="187" t="s">
        <v>143</v>
      </c>
      <c r="AE67" s="188" t="s">
        <v>838</v>
      </c>
      <c r="AF67" s="187" t="s">
        <v>143</v>
      </c>
      <c r="AG67" s="188" t="s">
        <v>838</v>
      </c>
      <c r="AH67" s="187" t="s">
        <v>143</v>
      </c>
      <c r="AI67" s="194" t="s">
        <v>838</v>
      </c>
      <c r="AJ67" s="1"/>
    </row>
    <row r="68" spans="1:36">
      <c r="A68" s="175" t="s">
        <v>220</v>
      </c>
      <c r="B68" s="195">
        <f>GETPIVOTDATA("Sum of Old G E-Learning",'Pivot Table for Fact Book'!$A$3,"State","AL","type",1,"Type2","Four-Year")</f>
        <v>16590</v>
      </c>
      <c r="C68" s="116">
        <f>GETPIVOTDATA("Sum of New G E-Learning",'Pivot Table for Fact Book'!$A$3,"State","AL","type",1,"Type2","Four-Year")</f>
        <v>20445</v>
      </c>
      <c r="D68" s="195">
        <f>GETPIVOTDATA("Sum of Old G E-Learning",'Pivot Table for Fact Book'!$A$3,"State","AL","type",2,"Type2","Four-Year")</f>
        <v>2690</v>
      </c>
      <c r="E68" s="116">
        <f>GETPIVOTDATA("Sum of New G E-Learning",'Pivot Table for Fact Book'!$A$3,"State","AL","type",2,"Type2","Four-Year")</f>
        <v>2641</v>
      </c>
      <c r="F68" s="195">
        <f>GETPIVOTDATA("Sum of Old G E-Learning",'Pivot Table for Fact Book'!$A$3,"State","AL","type",3,"Type2","Four-Year")</f>
        <v>28804</v>
      </c>
      <c r="G68" s="116">
        <f>GETPIVOTDATA("Sum of New G E-Learning",'Pivot Table for Fact Book'!$A$3,"State","AL","type",3,"Type2","Four-Year")</f>
        <v>25822</v>
      </c>
      <c r="H68" s="195">
        <f>GETPIVOTDATA("Sum of Old G E-Learning",'Pivot Table for Fact Book'!$A$3,"State","AL","type",4,"Type2","Four-Year")</f>
        <v>13408</v>
      </c>
      <c r="I68" s="116">
        <f>GETPIVOTDATA("Sum of New G E-Learning",'Pivot Table for Fact Book'!$A$3,"State","AL","type",4,"Type2","Four-Year")</f>
        <v>9756</v>
      </c>
      <c r="J68" s="195">
        <f>GETPIVOTDATA("Sum of Old G E-Learning",'Pivot Table for Fact Book'!$A$3,"State","AL","type",5,"Type2","Four-Year")</f>
        <v>24217</v>
      </c>
      <c r="K68" s="116">
        <f>GETPIVOTDATA("Sum of New G E-Learning",'Pivot Table for Fact Book'!$A$3,"State","AL","type",5,"Type2","Four-Year")</f>
        <v>36129</v>
      </c>
      <c r="L68" s="195">
        <f>GETPIVOTDATA("Sum of Old G E-Learning",'Pivot Table for Fact Book'!$A$3,"State","AL","type",6,"Type2","Four-Year")</f>
        <v>0</v>
      </c>
      <c r="M68" s="116">
        <f>GETPIVOTDATA("Sum of New G E-Learning",'Pivot Table for Fact Book'!$A$3,"State","AL","type",6,"Type2","Four-Year")</f>
        <v>0</v>
      </c>
      <c r="N68" s="195">
        <f>GETPIVOTDATA("Sum of Old G E-Learning",'Pivot Table for Fact Book'!$A$3,"State","AL","type",15,"Type2","Four-Year")</f>
        <v>0</v>
      </c>
      <c r="O68" s="116">
        <f>GETPIVOTDATA("Sum of New G E-Learning",'Pivot Table for Fact Book'!$A$3,"State","AL","type",15,"Type2","Four-Year")</f>
        <v>0</v>
      </c>
      <c r="P68" s="196">
        <f>GETPIVOTDATA("Sum of Old G E-Learning",'Pivot Table for Fact Book'!$A$3,"State","AL","Type2","Four-Year")</f>
        <v>85709</v>
      </c>
      <c r="Q68" s="196">
        <f>GETPIVOTDATA("Sum of New G E-Learning",'Pivot Table for Fact Book'!$A$3,"State","AL","Type2","Four-Year")</f>
        <v>94793</v>
      </c>
      <c r="R68" s="195">
        <f>GETPIVOTDATA("Sum of Old G E-Learning",'Pivot Table for Fact Book'!$A$3,"State","AL","type",7,"Type2","Two-Year")</f>
        <v>0</v>
      </c>
      <c r="S68" s="197">
        <f>GETPIVOTDATA("Sum of New G E-Learning",'Pivot Table for Fact Book'!$A$3,"State","AL","type",7,"Type2","Two-Year")</f>
        <v>0</v>
      </c>
      <c r="T68" s="197">
        <f>GETPIVOTDATA("Sum of Old G E-Learning",'Pivot Table for Fact Book'!$A$3,"State","AL","type",8,"Type2","Two-Year")</f>
        <v>0</v>
      </c>
      <c r="U68" s="197">
        <f>GETPIVOTDATA("Sum of New G E-Learning",'Pivot Table for Fact Book'!$A$3,"State","AL","type",8,"Type2","Two-Year")</f>
        <v>0</v>
      </c>
      <c r="V68" s="197">
        <f>GETPIVOTDATA("Sum of Old G E-Learning",'Pivot Table for Fact Book'!$A$3,"State","AL","type",9,"Type2","Two-Year")</f>
        <v>0</v>
      </c>
      <c r="W68" s="197">
        <f>GETPIVOTDATA("Sum of New G E-Learning",'Pivot Table for Fact Book'!$A$3,"State","AL","type",9,"Type2","Two-Year")</f>
        <v>0</v>
      </c>
      <c r="X68" s="197">
        <f>GETPIVOTDATA("Sum of Old G E-Learning",'Pivot Table for Fact Book'!$A$3,"State","AL","type",10,"Type2","Two-Year")</f>
        <v>0</v>
      </c>
      <c r="Y68" s="197">
        <f>GETPIVOTDATA("Sum of New G E-Learning",'Pivot Table for Fact Book'!$A$3,"State","AL","type",10,"Type2","Two-Year")</f>
        <v>0</v>
      </c>
      <c r="Z68" s="198">
        <f>GETPIVOTDATA("Sum of Old G E-Learning",'Pivot Table for Fact Book'!$A$3,"State","AL","Type2","Two-Year")</f>
        <v>0</v>
      </c>
      <c r="AA68" s="198">
        <f>GETPIVOTDATA("Sum of New G E-Learning",'Pivot Table for Fact Book'!$A$3,"State","AL","Type2","Two-Year")</f>
        <v>0</v>
      </c>
      <c r="AB68" s="195">
        <f>GETPIVOTDATA("Sum of Old G E-Learning",'Pivot Table for Fact Book'!$A$3,"State","AL","type",12,"Type2","Technical")</f>
        <v>0</v>
      </c>
      <c r="AC68" s="197">
        <f>GETPIVOTDATA("Sum of New G E-Learning",'Pivot Table for Fact Book'!$A$3,"State","AL","type",12,"Type2","Technical")</f>
        <v>0</v>
      </c>
      <c r="AD68" s="197">
        <f>GETPIVOTDATA("Sum of Old G E-Learning",'Pivot Table for Fact Book'!$A$3,"State","AL","type",13,"Type2","Technical")</f>
        <v>0</v>
      </c>
      <c r="AE68" s="197">
        <f>GETPIVOTDATA("Sum of New G E-Learning",'Pivot Table for Fact Book'!$A$3,"State","AL","type",13,"Type2","Technical")</f>
        <v>0</v>
      </c>
      <c r="AF68" s="197">
        <f>GETPIVOTDATA("Sum of Old G E-Learning",'Pivot Table for Fact Book'!$A$3,"State","AL","type",14,"Type2","Technical")</f>
        <v>0</v>
      </c>
      <c r="AG68" s="197">
        <f>GETPIVOTDATA("Sum of New G E-Learning",'Pivot Table for Fact Book'!$A$3,"State","AL","type",14,"Type2","Technical")</f>
        <v>0</v>
      </c>
      <c r="AH68" s="199">
        <f>GETPIVOTDATA("Sum of Old G E-Learning",'Pivot Table for Fact Book'!$A$3,"State","AL","Type2","Technical")</f>
        <v>0</v>
      </c>
      <c r="AI68" s="199">
        <f>GETPIVOTDATA("Sum of New G E-Learning",'Pivot Table for Fact Book'!$A$3,"State","AL","Type2","Technical")</f>
        <v>0</v>
      </c>
      <c r="AJ68" s="1"/>
    </row>
    <row r="69" spans="1:36">
      <c r="A69" s="175" t="s">
        <v>221</v>
      </c>
      <c r="B69" s="195">
        <f>GETPIVOTDATA("Sum of Old G E-Learning",'Pivot Table for Fact Book'!$A$3,"State","AR","type",1,"Type2","Four-Year")</f>
        <v>9995</v>
      </c>
      <c r="C69" s="116">
        <f>GETPIVOTDATA("Sum of New G E-Learning",'Pivot Table for Fact Book'!$A$3,"State","AR","type",1,"Type2","Four-Year")</f>
        <v>12302</v>
      </c>
      <c r="D69" s="195">
        <f>GETPIVOTDATA("Sum of Old G E-Learning",'Pivot Table for Fact Book'!$A$3,"State","AR","type",2,"Type2","Four-Year")</f>
        <v>0</v>
      </c>
      <c r="E69" s="116">
        <f>GETPIVOTDATA("Sum of New G E-Learning",'Pivot Table for Fact Book'!$A$3,"State","AR","type",2,"Type2","Four-Year")</f>
        <v>0</v>
      </c>
      <c r="F69" s="195">
        <f>GETPIVOTDATA("Sum of Old G E-Learning",'Pivot Table for Fact Book'!$A$3,"State","AR","type",3,"Type2","Four-Year")</f>
        <v>18682</v>
      </c>
      <c r="G69" s="116">
        <f>GETPIVOTDATA("Sum of New G E-Learning",'Pivot Table for Fact Book'!$A$3,"State","AR","type",3,"Type2","Four-Year")</f>
        <v>27842</v>
      </c>
      <c r="H69" s="195">
        <f>GETPIVOTDATA("Sum of Old G E-Learning",'Pivot Table for Fact Book'!$A$3,"State","AR","type",4,"Type2","Four-Year")</f>
        <v>1812</v>
      </c>
      <c r="I69" s="116">
        <f>GETPIVOTDATA("Sum of New G E-Learning",'Pivot Table for Fact Book'!$A$3,"State","AR","type",4,"Type2","Four-Year")</f>
        <v>2461</v>
      </c>
      <c r="J69" s="195">
        <f>GETPIVOTDATA("Sum of Old G E-Learning",'Pivot Table for Fact Book'!$A$3,"State","AR","type",5,"Type2","Four-Year")</f>
        <v>2583</v>
      </c>
      <c r="K69" s="116">
        <f>GETPIVOTDATA("Sum of New G E-Learning",'Pivot Table for Fact Book'!$A$3,"State","AR","type",5,"Type2","Four-Year")</f>
        <v>4443</v>
      </c>
      <c r="L69" s="195">
        <f>GETPIVOTDATA("Sum of Old G E-Learning",'Pivot Table for Fact Book'!$A$3,"State","AR","type",6,"Type2","Four-Year")</f>
        <v>192</v>
      </c>
      <c r="M69" s="116">
        <f>GETPIVOTDATA("Sum of New G E-Learning",'Pivot Table for Fact Book'!$A$3,"State","AR","type",6,"Type2","Four-Year")</f>
        <v>311</v>
      </c>
      <c r="N69" s="195">
        <f>GETPIVOTDATA("Sum of Old G E-Learning",'Pivot Table for Fact Book'!$A$3,"State","AR","type",15,"Type2","Four-Year")</f>
        <v>0</v>
      </c>
      <c r="O69" s="116">
        <f>GETPIVOTDATA("Sum of New G E-Learning",'Pivot Table for Fact Book'!$A$3,"State","AR","type",15,"Type2","Four-Year")</f>
        <v>0</v>
      </c>
      <c r="P69" s="196">
        <f>GETPIVOTDATA("Sum of Old G E-Learning",'Pivot Table for Fact Book'!$A$3,"State","AR","Type2","Four-Year")</f>
        <v>33264</v>
      </c>
      <c r="Q69" s="196">
        <f>GETPIVOTDATA("Sum of New G E-Learning",'Pivot Table for Fact Book'!$A$3,"State","AR","Type2","Four-Year")</f>
        <v>47359</v>
      </c>
      <c r="R69" s="195">
        <f>GETPIVOTDATA("Sum of Old G E-Learning",'Pivot Table for Fact Book'!$A$3,"State","AR","type",7,"Type2","Two-Year")</f>
        <v>0</v>
      </c>
      <c r="S69" s="197">
        <f>GETPIVOTDATA("Sum of New G E-Learning",'Pivot Table for Fact Book'!$A$3,"State","AR","type",7,"Type2","Two-Year")</f>
        <v>0</v>
      </c>
      <c r="T69" s="197">
        <f>GETPIVOTDATA("Sum of Old G E-Learning",'Pivot Table for Fact Book'!$A$3,"State","AR","type",8,"Type2","Two-Year")</f>
        <v>0</v>
      </c>
      <c r="U69" s="197">
        <f>GETPIVOTDATA("Sum of New G E-Learning",'Pivot Table for Fact Book'!$A$3,"State","AR","type",8,"Type2","Two-Year")</f>
        <v>0</v>
      </c>
      <c r="V69" s="197">
        <f>GETPIVOTDATA("Sum of Old G E-Learning",'Pivot Table for Fact Book'!$A$3,"State","AR","type",9,"Type2","Two-Year")</f>
        <v>0</v>
      </c>
      <c r="W69" s="197">
        <f>GETPIVOTDATA("Sum of New G E-Learning",'Pivot Table for Fact Book'!$A$3,"State","AR","type",9,"Type2","Two-Year")</f>
        <v>0</v>
      </c>
      <c r="X69" s="197">
        <f>GETPIVOTDATA("Sum of Old G E-Learning",'Pivot Table for Fact Book'!$A$3,"State","AR","type",10,"Type2","Two-Year")</f>
        <v>0</v>
      </c>
      <c r="Y69" s="197">
        <f>GETPIVOTDATA("Sum of New G E-Learning",'Pivot Table for Fact Book'!$A$3,"State","AR","type",10,"Type2","Two-Year")</f>
        <v>0</v>
      </c>
      <c r="Z69" s="198">
        <f>GETPIVOTDATA("Sum of Old G E-Learning",'Pivot Table for Fact Book'!$A$3,"State","AR","Type2","Two-Year")</f>
        <v>0</v>
      </c>
      <c r="AA69" s="198">
        <f>GETPIVOTDATA("Sum of New G E-Learning",'Pivot Table for Fact Book'!$A$3,"State","AR","Type2","Two-Year")</f>
        <v>0</v>
      </c>
      <c r="AB69" s="195">
        <f>GETPIVOTDATA("Sum of Old G E-Learning",'Pivot Table for Fact Book'!$A$3,"State","AR","type",12,"Type2","Technical")</f>
        <v>0</v>
      </c>
      <c r="AC69" s="197">
        <f>GETPIVOTDATA("Sum of New G E-Learning",'Pivot Table for Fact Book'!$A$3,"State","AR","type",12,"Type2","Technical")</f>
        <v>0</v>
      </c>
      <c r="AD69" s="197">
        <f>GETPIVOTDATA("Sum of Old G E-Learning",'Pivot Table for Fact Book'!$A$3,"State","AR","type",13,"Type2","Technical")</f>
        <v>0</v>
      </c>
      <c r="AE69" s="197">
        <f>GETPIVOTDATA("Sum of New G E-Learning",'Pivot Table for Fact Book'!$A$3,"State","AR","type",13,"Type2","Technical")</f>
        <v>0</v>
      </c>
      <c r="AF69" s="197">
        <f>GETPIVOTDATA("Sum of Old G E-Learning",'Pivot Table for Fact Book'!$A$3,"State","AR","type",14,"Type2","Technical")</f>
        <v>0</v>
      </c>
      <c r="AG69" s="197">
        <f>GETPIVOTDATA("Sum of New G E-Learning",'Pivot Table for Fact Book'!$A$3,"State","AR","type",14,"Type2","Technical")</f>
        <v>0</v>
      </c>
      <c r="AH69" s="199">
        <f>GETPIVOTDATA("Sum of Old G E-Learning",'Pivot Table for Fact Book'!$A$3,"State","AR","Type2","Technical")</f>
        <v>0</v>
      </c>
      <c r="AI69" s="199">
        <f>GETPIVOTDATA("Sum of New G E-Learning",'Pivot Table for Fact Book'!$A$3,"State","AR","Type2","Technical")</f>
        <v>0</v>
      </c>
      <c r="AJ69" s="1"/>
    </row>
    <row r="70" spans="1:36">
      <c r="A70" s="175" t="s">
        <v>222</v>
      </c>
      <c r="B70" s="195">
        <f>GETPIVOTDATA("Sum of Old G E-Learning",'Pivot Table for Fact Book'!$A$3,"State","DE","type",1,"Type2","Four-Year")</f>
        <v>3293</v>
      </c>
      <c r="C70" s="116">
        <f>GETPIVOTDATA("Sum of New G E-Learning",'Pivot Table for Fact Book'!$A$3,"State","DE","type",1,"Type2","Four-Year")</f>
        <v>3385</v>
      </c>
      <c r="D70" s="195">
        <f>GETPIVOTDATA("Sum of Old G E-Learning",'Pivot Table for Fact Book'!$A$3,"State","DE","type",2,"Type2","Four-Year")</f>
        <v>0</v>
      </c>
      <c r="E70" s="116">
        <f>GETPIVOTDATA("Sum of New G E-Learning",'Pivot Table for Fact Book'!$A$3,"State","DE","type",2,"Type2","Four-Year")</f>
        <v>0</v>
      </c>
      <c r="F70" s="195">
        <f>GETPIVOTDATA("Sum of Old G E-Learning",'Pivot Table for Fact Book'!$A$3,"State","DE","type",3,"Type2","Four-Year")</f>
        <v>0</v>
      </c>
      <c r="G70" s="116">
        <f>GETPIVOTDATA("Sum of New G E-Learning",'Pivot Table for Fact Book'!$A$3,"State","DE","type",3,"Type2","Four-Year")</f>
        <v>0</v>
      </c>
      <c r="H70" s="195">
        <f>GETPIVOTDATA("Sum of Old G E-Learning",'Pivot Table for Fact Book'!$A$3,"State","DE","type",4,"Type2","Four-Year")</f>
        <v>0</v>
      </c>
      <c r="I70" s="116">
        <f>GETPIVOTDATA("Sum of New G E-Learning",'Pivot Table for Fact Book'!$A$3,"State","DE","type",4,"Type2","Four-Year")</f>
        <v>150</v>
      </c>
      <c r="J70" s="195">
        <f>GETPIVOTDATA("Sum of Old G E-Learning",'Pivot Table for Fact Book'!$A$3,"State","DE","type",5,"Type2","Four-Year")</f>
        <v>0</v>
      </c>
      <c r="K70" s="116">
        <f>GETPIVOTDATA("Sum of New G E-Learning",'Pivot Table for Fact Book'!$A$3,"State","DE","type",5,"Type2","Four-Year")</f>
        <v>0</v>
      </c>
      <c r="L70" s="195">
        <f>GETPIVOTDATA("Sum of Old G E-Learning",'Pivot Table for Fact Book'!$A$3,"State","DE","type",6,"Type2","Four-Year")</f>
        <v>0</v>
      </c>
      <c r="M70" s="116">
        <f>GETPIVOTDATA("Sum of New G E-Learning",'Pivot Table for Fact Book'!$A$3,"State","DE","type",6,"Type2","Four-Year")</f>
        <v>0</v>
      </c>
      <c r="N70" s="195">
        <f>GETPIVOTDATA("Sum of Old G E-Learning",'Pivot Table for Fact Book'!$A$3,"State","DE","type",15,"Type2","Four-Year")</f>
        <v>0</v>
      </c>
      <c r="O70" s="116">
        <f>GETPIVOTDATA("Sum of New G E-Learning",'Pivot Table for Fact Book'!$A$3,"State","DE","type",15,"Type2","Four-Year")</f>
        <v>0</v>
      </c>
      <c r="P70" s="196">
        <f>GETPIVOTDATA("Sum of Old G E-Learning",'Pivot Table for Fact Book'!$A$3,"State","DE","Type2","Four-Year")</f>
        <v>3293</v>
      </c>
      <c r="Q70" s="196">
        <f>GETPIVOTDATA("Sum of New G E-Learning",'Pivot Table for Fact Book'!$A$3,"State","DE","Type2","Four-Year")</f>
        <v>3535</v>
      </c>
      <c r="R70" s="195">
        <f>GETPIVOTDATA("Sum of Old G E-Learning",'Pivot Table for Fact Book'!$A$3,"State","DE","type",7,"Type2","Two-Year")</f>
        <v>0</v>
      </c>
      <c r="S70" s="197">
        <f>GETPIVOTDATA("Sum of New G E-Learning",'Pivot Table for Fact Book'!$A$3,"State","DE","type",7,"Type2","Two-Year")</f>
        <v>0</v>
      </c>
      <c r="T70" s="197">
        <f>GETPIVOTDATA("Sum of Old G E-Learning",'Pivot Table for Fact Book'!$A$3,"State","DE","type",8,"Type2","Two-Year")</f>
        <v>0</v>
      </c>
      <c r="U70" s="197">
        <f>GETPIVOTDATA("Sum of New G E-Learning",'Pivot Table for Fact Book'!$A$3,"State","DE","type",8,"Type2","Two-Year")</f>
        <v>0</v>
      </c>
      <c r="V70" s="197">
        <f>GETPIVOTDATA("Sum of Old G E-Learning",'Pivot Table for Fact Book'!$A$3,"State","DE","type",9,"Type2","Two-Year")</f>
        <v>0</v>
      </c>
      <c r="W70" s="197">
        <f>GETPIVOTDATA("Sum of New G E-Learning",'Pivot Table for Fact Book'!$A$3,"State","DE","type",9,"Type2","Two-Year")</f>
        <v>0</v>
      </c>
      <c r="X70" s="197">
        <f>GETPIVOTDATA("Sum of Old G E-Learning",'Pivot Table for Fact Book'!$A$3,"State","DE","type",10,"Type2","Two-Year")</f>
        <v>0</v>
      </c>
      <c r="Y70" s="197">
        <f>GETPIVOTDATA("Sum of New G E-Learning",'Pivot Table for Fact Book'!$A$3,"State","DE","type",10,"Type2","Two-Year")</f>
        <v>0</v>
      </c>
      <c r="Z70" s="198">
        <f>GETPIVOTDATA("Sum of Old G E-Learning",'Pivot Table for Fact Book'!$A$3,"State","DE","Type2","Two-Year")</f>
        <v>0</v>
      </c>
      <c r="AA70" s="198">
        <f>GETPIVOTDATA("Sum of New G E-Learning",'Pivot Table for Fact Book'!$A$3,"State","DE","Type2","Two-Year")</f>
        <v>0</v>
      </c>
      <c r="AB70" s="195">
        <f>GETPIVOTDATA("Sum of Old G E-Learning",'Pivot Table for Fact Book'!$A$3,"State","DE","type",12,"Type2","Technical")</f>
        <v>0</v>
      </c>
      <c r="AC70" s="197">
        <f>GETPIVOTDATA("Sum of New G E-Learning",'Pivot Table for Fact Book'!$A$3,"State","DE","type",12,"Type2","Technical")</f>
        <v>0</v>
      </c>
      <c r="AD70" s="197">
        <f>GETPIVOTDATA("Sum of Old G E-Learning",'Pivot Table for Fact Book'!$A$3,"State","DE","type",13,"Type2","Technical")</f>
        <v>0</v>
      </c>
      <c r="AE70" s="197">
        <f>GETPIVOTDATA("Sum of New G E-Learning",'Pivot Table for Fact Book'!$A$3,"State","DE","type",13,"Type2","Technical")</f>
        <v>0</v>
      </c>
      <c r="AF70" s="197">
        <f>GETPIVOTDATA("Sum of Old G E-Learning",'Pivot Table for Fact Book'!$A$3,"State","DE","type",14,"Type2","Technical")</f>
        <v>0</v>
      </c>
      <c r="AG70" s="197">
        <f>GETPIVOTDATA("Sum of New G E-Learning",'Pivot Table for Fact Book'!$A$3,"State","DE","type",14,"Type2","Technical")</f>
        <v>0</v>
      </c>
      <c r="AH70" s="199">
        <f>GETPIVOTDATA("Sum of Old G E-Learning",'Pivot Table for Fact Book'!$A$3,"State","DE","Type2","Technical")</f>
        <v>0</v>
      </c>
      <c r="AI70" s="199">
        <f>GETPIVOTDATA("Sum of New G E-Learning",'Pivot Table for Fact Book'!$A$3,"State","DE","Type2","Technical")</f>
        <v>0</v>
      </c>
      <c r="AJ70" s="1"/>
    </row>
    <row r="71" spans="1:36">
      <c r="A71" s="175" t="s">
        <v>223</v>
      </c>
      <c r="B71" s="195">
        <f>GETPIVOTDATA("Sum of Old G E-Learning",'Pivot Table for Fact Book'!$A$3,"State","FL","type",1,"Type2","Four-Year")</f>
        <v>117765</v>
      </c>
      <c r="C71" s="116">
        <f>GETPIVOTDATA("Sum of New G E-Learning",'Pivot Table for Fact Book'!$A$3,"State","FL","type",1,"Type2","Four-Year")</f>
        <v>136327</v>
      </c>
      <c r="D71" s="195">
        <f>GETPIVOTDATA("Sum of Old G E-Learning",'Pivot Table for Fact Book'!$A$3,"State","FL","type",2,"Type2","Four-Year")</f>
        <v>34776</v>
      </c>
      <c r="E71" s="116">
        <f>GETPIVOTDATA("Sum of New G E-Learning",'Pivot Table for Fact Book'!$A$3,"State","FL","type",2,"Type2","Four-Year")</f>
        <v>21759</v>
      </c>
      <c r="F71" s="195">
        <f>GETPIVOTDATA("Sum of Old G E-Learning",'Pivot Table for Fact Book'!$A$3,"State","FL","type",3,"Type2","Four-Year")</f>
        <v>13909</v>
      </c>
      <c r="G71" s="116">
        <f>GETPIVOTDATA("Sum of New G E-Learning",'Pivot Table for Fact Book'!$A$3,"State","FL","type",3,"Type2","Four-Year")</f>
        <v>15490.5</v>
      </c>
      <c r="H71" s="195">
        <f>GETPIVOTDATA("Sum of Old G E-Learning",'Pivot Table for Fact Book'!$A$3,"State","FL","type",4,"Type2","Four-Year")</f>
        <v>5439</v>
      </c>
      <c r="I71" s="116">
        <f>GETPIVOTDATA("Sum of New G E-Learning",'Pivot Table for Fact Book'!$A$3,"State","FL","type",4,"Type2","Four-Year")</f>
        <v>7485</v>
      </c>
      <c r="J71" s="195">
        <f>GETPIVOTDATA("Sum of Old G E-Learning",'Pivot Table for Fact Book'!$A$3,"State","FL","type",5,"Type2","Four-Year")</f>
        <v>0</v>
      </c>
      <c r="K71" s="116">
        <f>GETPIVOTDATA("Sum of New G E-Learning",'Pivot Table for Fact Book'!$A$3,"State","FL","type",5,"Type2","Four-Year")</f>
        <v>0</v>
      </c>
      <c r="L71" s="195">
        <f>GETPIVOTDATA("Sum of Old G E-Learning",'Pivot Table for Fact Book'!$A$3,"State","FL","type",6,"Type2","Four-Year")</f>
        <v>0</v>
      </c>
      <c r="M71" s="116">
        <f>GETPIVOTDATA("Sum of New G E-Learning",'Pivot Table for Fact Book'!$A$3,"State","FL","type",6,"Type2","Four-Year")</f>
        <v>0</v>
      </c>
      <c r="N71" s="195">
        <f>GETPIVOTDATA("Sum of Old G E-Learning",'Pivot Table for Fact Book'!$A$3,"State","FL","type",15,"Type2","Four-Year")</f>
        <v>0</v>
      </c>
      <c r="O71" s="116">
        <f>GETPIVOTDATA("Sum of New G E-Learning",'Pivot Table for Fact Book'!$A$3,"State","FL","type",15,"Type2","Four-Year")</f>
        <v>0</v>
      </c>
      <c r="P71" s="196">
        <f>GETPIVOTDATA("Sum of Old G E-Learning",'Pivot Table for Fact Book'!$A$3,"State","FL","Type2","Four-Year")</f>
        <v>171889</v>
      </c>
      <c r="Q71" s="196">
        <f>GETPIVOTDATA("Sum of New G E-Learning",'Pivot Table for Fact Book'!$A$3,"State","FL","Type2","Four-Year")</f>
        <v>181061.5</v>
      </c>
      <c r="R71" s="195">
        <f>GETPIVOTDATA("Sum of Old G E-Learning",'Pivot Table for Fact Book'!$A$3,"State","FL","type",7,"Type2","Two-Year")</f>
        <v>0</v>
      </c>
      <c r="S71" s="197">
        <f>GETPIVOTDATA("Sum of New G E-Learning",'Pivot Table for Fact Book'!$A$3,"State","FL","type",7,"Type2","Two-Year")</f>
        <v>0</v>
      </c>
      <c r="T71" s="197">
        <f>GETPIVOTDATA("Sum of Old G E-Learning",'Pivot Table for Fact Book'!$A$3,"State","FL","type",8,"Type2","Two-Year")</f>
        <v>0</v>
      </c>
      <c r="U71" s="197">
        <f>GETPIVOTDATA("Sum of New G E-Learning",'Pivot Table for Fact Book'!$A$3,"State","FL","type",8,"Type2","Two-Year")</f>
        <v>0</v>
      </c>
      <c r="V71" s="197">
        <f>GETPIVOTDATA("Sum of Old G E-Learning",'Pivot Table for Fact Book'!$A$3,"State","FL","type",9,"Type2","Two-Year")</f>
        <v>0</v>
      </c>
      <c r="W71" s="197">
        <f>GETPIVOTDATA("Sum of New G E-Learning",'Pivot Table for Fact Book'!$A$3,"State","FL","type",9,"Type2","Two-Year")</f>
        <v>0</v>
      </c>
      <c r="X71" s="197">
        <f>GETPIVOTDATA("Sum of Old G E-Learning",'Pivot Table for Fact Book'!$A$3,"State","FL","type",10,"Type2","Two-Year")</f>
        <v>0</v>
      </c>
      <c r="Y71" s="197">
        <f>GETPIVOTDATA("Sum of New G E-Learning",'Pivot Table for Fact Book'!$A$3,"State","FL","type",10,"Type2","Two-Year")</f>
        <v>0</v>
      </c>
      <c r="Z71" s="198">
        <f>GETPIVOTDATA("Sum of Old G E-Learning",'Pivot Table for Fact Book'!$A$3,"State","FL","Type2","Two-Year")</f>
        <v>0</v>
      </c>
      <c r="AA71" s="198">
        <f>GETPIVOTDATA("Sum of New G E-Learning",'Pivot Table for Fact Book'!$A$3,"State","FL","Type2","Two-Year")</f>
        <v>0</v>
      </c>
      <c r="AB71" s="195">
        <f>GETPIVOTDATA("Sum of Old G E-Learning",'Pivot Table for Fact Book'!$A$3,"State","FL","type",12,"Type2","Technical")</f>
        <v>0</v>
      </c>
      <c r="AC71" s="197">
        <f>GETPIVOTDATA("Sum of New G E-Learning",'Pivot Table for Fact Book'!$A$3,"State","FL","type",12,"Type2","Technical")</f>
        <v>0</v>
      </c>
      <c r="AD71" s="197">
        <f>GETPIVOTDATA("Sum of Old G E-Learning",'Pivot Table for Fact Book'!$A$3,"State","FL","type",13,"Type2","Technical")</f>
        <v>0</v>
      </c>
      <c r="AE71" s="197">
        <f>GETPIVOTDATA("Sum of New G E-Learning",'Pivot Table for Fact Book'!$A$3,"State","FL","type",13,"Type2","Technical")</f>
        <v>0</v>
      </c>
      <c r="AF71" s="197">
        <f>GETPIVOTDATA("Sum of Old G E-Learning",'Pivot Table for Fact Book'!$A$3,"State","FL","type",14,"Type2","Technical")</f>
        <v>0</v>
      </c>
      <c r="AG71" s="197">
        <f>GETPIVOTDATA("Sum of New G E-Learning",'Pivot Table for Fact Book'!$A$3,"State","FL","type",14,"Type2","Technical")</f>
        <v>0</v>
      </c>
      <c r="AH71" s="199">
        <f>GETPIVOTDATA("Sum of Old G E-Learning",'Pivot Table for Fact Book'!$A$3,"State","FL","Type2","Technical")</f>
        <v>0</v>
      </c>
      <c r="AI71" s="199">
        <f>GETPIVOTDATA("Sum of New G E-Learning",'Pivot Table for Fact Book'!$A$3,"State","FL","Type2","Technical")</f>
        <v>0</v>
      </c>
      <c r="AJ71" s="1"/>
    </row>
    <row r="72" spans="1:36">
      <c r="A72" s="175" t="s">
        <v>224</v>
      </c>
      <c r="B72" s="195">
        <f>GETPIVOTDATA("Sum of Old G E-Learning",'Pivot Table for Fact Book'!$A$3,"State","GA","type",1,"Type2","Four-Year")</f>
        <v>12118</v>
      </c>
      <c r="C72" s="116">
        <f>GETPIVOTDATA("Sum of New G E-Learning",'Pivot Table for Fact Book'!$A$3,"State","GA","type",1,"Type2","Four-Year")</f>
        <v>6763</v>
      </c>
      <c r="D72" s="195">
        <f>GETPIVOTDATA("Sum of Old G E-Learning",'Pivot Table for Fact Book'!$A$3,"State","GA","type",2,"Type2","Four-Year")</f>
        <v>4753.5</v>
      </c>
      <c r="E72" s="116">
        <f>GETPIVOTDATA("Sum of New G E-Learning",'Pivot Table for Fact Book'!$A$3,"State","GA","type",2,"Type2","Four-Year")</f>
        <v>3606</v>
      </c>
      <c r="F72" s="195">
        <f>GETPIVOTDATA("Sum of Old G E-Learning",'Pivot Table for Fact Book'!$A$3,"State","GA","type",3,"Type2","Four-Year")</f>
        <v>28252</v>
      </c>
      <c r="G72" s="116">
        <f>GETPIVOTDATA("Sum of New G E-Learning",'Pivot Table for Fact Book'!$A$3,"State","GA","type",3,"Type2","Four-Year")</f>
        <v>42400</v>
      </c>
      <c r="H72" s="195">
        <f>GETPIVOTDATA("Sum of Old G E-Learning",'Pivot Table for Fact Book'!$A$3,"State","GA","type",4,"Type2","Four-Year")</f>
        <v>7323</v>
      </c>
      <c r="I72" s="116">
        <f>GETPIVOTDATA("Sum of New G E-Learning",'Pivot Table for Fact Book'!$A$3,"State","GA","type",4,"Type2","Four-Year")</f>
        <v>6844</v>
      </c>
      <c r="J72" s="195">
        <f>GETPIVOTDATA("Sum of Old G E-Learning",'Pivot Table for Fact Book'!$A$3,"State","GA","type",5,"Type2","Four-Year")</f>
        <v>2316</v>
      </c>
      <c r="K72" s="116">
        <f>GETPIVOTDATA("Sum of New G E-Learning",'Pivot Table for Fact Book'!$A$3,"State","GA","type",5,"Type2","Four-Year")</f>
        <v>2136</v>
      </c>
      <c r="L72" s="195">
        <f>GETPIVOTDATA("Sum of Old G E-Learning",'Pivot Table for Fact Book'!$A$3,"State","GA","type",6,"Type2","Four-Year")</f>
        <v>183</v>
      </c>
      <c r="M72" s="116">
        <f>GETPIVOTDATA("Sum of New G E-Learning",'Pivot Table for Fact Book'!$A$3,"State","GA","type",6,"Type2","Four-Year")</f>
        <v>46</v>
      </c>
      <c r="N72" s="195">
        <f>GETPIVOTDATA("Sum of Old G E-Learning",'Pivot Table for Fact Book'!$A$3,"State","GA","type",15,"Type2","Four-Year")</f>
        <v>0</v>
      </c>
      <c r="O72" s="116">
        <f>GETPIVOTDATA("Sum of New G E-Learning",'Pivot Table for Fact Book'!$A$3,"State","GA","type",15,"Type2","Four-Year")</f>
        <v>0</v>
      </c>
      <c r="P72" s="196">
        <f>GETPIVOTDATA("Sum of Old G E-Learning",'Pivot Table for Fact Book'!$A$3,"State","GA","Type2","Four-Year")</f>
        <v>54945.5</v>
      </c>
      <c r="Q72" s="196">
        <f>GETPIVOTDATA("Sum of New G E-Learning",'Pivot Table for Fact Book'!$A$3,"State","GA","Type2","Four-Year")</f>
        <v>61795</v>
      </c>
      <c r="R72" s="195">
        <f>GETPIVOTDATA("Sum of Old G E-Learning",'Pivot Table for Fact Book'!$A$3,"State","GA","type",7,"Type2","Two-Year")</f>
        <v>0</v>
      </c>
      <c r="S72" s="197">
        <f>GETPIVOTDATA("Sum of New G E-Learning",'Pivot Table for Fact Book'!$A$3,"State","GA","type",7,"Type2","Two-Year")</f>
        <v>0</v>
      </c>
      <c r="T72" s="197">
        <f>GETPIVOTDATA("Sum of Old G E-Learning",'Pivot Table for Fact Book'!$A$3,"State","GA","type",8,"Type2","Two-Year")</f>
        <v>0</v>
      </c>
      <c r="U72" s="197">
        <f>GETPIVOTDATA("Sum of New G E-Learning",'Pivot Table for Fact Book'!$A$3,"State","GA","type",8,"Type2","Two-Year")</f>
        <v>0</v>
      </c>
      <c r="V72" s="197">
        <f>GETPIVOTDATA("Sum of Old G E-Learning",'Pivot Table for Fact Book'!$A$3,"State","GA","type",9,"Type2","Two-Year")</f>
        <v>0</v>
      </c>
      <c r="W72" s="197">
        <f>GETPIVOTDATA("Sum of New G E-Learning",'Pivot Table for Fact Book'!$A$3,"State","GA","type",9,"Type2","Two-Year")</f>
        <v>0</v>
      </c>
      <c r="X72" s="197">
        <f>GETPIVOTDATA("Sum of Old G E-Learning",'Pivot Table for Fact Book'!$A$3,"State","GA","type",10,"Type2","Two-Year")</f>
        <v>0</v>
      </c>
      <c r="Y72" s="197">
        <f>GETPIVOTDATA("Sum of New G E-Learning",'Pivot Table for Fact Book'!$A$3,"State","GA","type",10,"Type2","Two-Year")</f>
        <v>0</v>
      </c>
      <c r="Z72" s="198">
        <f>GETPIVOTDATA("Sum of Old G E-Learning",'Pivot Table for Fact Book'!$A$3,"State","GA","Type2","Two-Year")</f>
        <v>0</v>
      </c>
      <c r="AA72" s="198">
        <f>GETPIVOTDATA("Sum of New G E-Learning",'Pivot Table for Fact Book'!$A$3,"State","GA","Type2","Two-Year")</f>
        <v>0</v>
      </c>
      <c r="AB72" s="195">
        <f>GETPIVOTDATA("Sum of Old G E-Learning",'Pivot Table for Fact Book'!$A$3,"State","GA","type",12,"Type2","Technical")</f>
        <v>0</v>
      </c>
      <c r="AC72" s="197">
        <f>GETPIVOTDATA("Sum of New G E-Learning",'Pivot Table for Fact Book'!$A$3,"State","GA","type",12,"Type2","Technical")</f>
        <v>0</v>
      </c>
      <c r="AD72" s="197">
        <f>GETPIVOTDATA("Sum of Old G E-Learning",'Pivot Table for Fact Book'!$A$3,"State","GA","type",13,"Type2","Technical")</f>
        <v>0</v>
      </c>
      <c r="AE72" s="197">
        <f>GETPIVOTDATA("Sum of New G E-Learning",'Pivot Table for Fact Book'!$A$3,"State","GA","type",13,"Type2","Technical")</f>
        <v>0</v>
      </c>
      <c r="AF72" s="197">
        <f>GETPIVOTDATA("Sum of Old G E-Learning",'Pivot Table for Fact Book'!$A$3,"State","GA","type",14,"Type2","Technical")</f>
        <v>0</v>
      </c>
      <c r="AG72" s="197">
        <f>GETPIVOTDATA("Sum of New G E-Learning",'Pivot Table for Fact Book'!$A$3,"State","GA","type",14,"Type2","Technical")</f>
        <v>0</v>
      </c>
      <c r="AH72" s="199">
        <f>GETPIVOTDATA("Sum of Old G E-Learning",'Pivot Table for Fact Book'!$A$3,"State","GA","Type2","Technical")</f>
        <v>0</v>
      </c>
      <c r="AI72" s="199">
        <f>GETPIVOTDATA("Sum of New G E-Learning",'Pivot Table for Fact Book'!$A$3,"State","GA","Type2","Technical")</f>
        <v>0</v>
      </c>
      <c r="AJ72" s="1"/>
    </row>
    <row r="73" spans="1:36">
      <c r="A73" s="175" t="s">
        <v>225</v>
      </c>
      <c r="B73" s="195">
        <f>GETPIVOTDATA("Sum of Old G E-Learning",'Pivot Table for Fact Book'!$A$3,"State","KY","type",1,"Type2","Four-Year")</f>
        <v>9415</v>
      </c>
      <c r="C73" s="116">
        <f>GETPIVOTDATA("Sum of New G E-Learning",'Pivot Table for Fact Book'!$A$3,"State","KY","type",1,"Type2","Four-Year")</f>
        <v>12238</v>
      </c>
      <c r="D73" s="195">
        <f>GETPIVOTDATA("Sum of Old G E-Learning",'Pivot Table for Fact Book'!$A$3,"State","KY","type",2,"Type2","Four-Year")</f>
        <v>0</v>
      </c>
      <c r="E73" s="116">
        <f>GETPIVOTDATA("Sum of New G E-Learning",'Pivot Table for Fact Book'!$A$3,"State","KY","type",2,"Type2","Four-Year")</f>
        <v>0</v>
      </c>
      <c r="F73" s="195">
        <f>GETPIVOTDATA("Sum of Old G E-Learning",'Pivot Table for Fact Book'!$A$3,"State","KY","type",3,"Type2","Four-Year")</f>
        <v>33108</v>
      </c>
      <c r="G73" s="116">
        <f>GETPIVOTDATA("Sum of New G E-Learning",'Pivot Table for Fact Book'!$A$3,"State","KY","type",3,"Type2","Four-Year")</f>
        <v>38666</v>
      </c>
      <c r="H73" s="195">
        <f>GETPIVOTDATA("Sum of Old G E-Learning",'Pivot Table for Fact Book'!$A$3,"State","KY","type",4,"Type2","Four-Year")</f>
        <v>17721</v>
      </c>
      <c r="I73" s="116">
        <f>GETPIVOTDATA("Sum of New G E-Learning",'Pivot Table for Fact Book'!$A$3,"State","KY","type",4,"Type2","Four-Year")</f>
        <v>20720</v>
      </c>
      <c r="J73" s="195">
        <f>GETPIVOTDATA("Sum of Old G E-Learning",'Pivot Table for Fact Book'!$A$3,"State","KY","type",5,"Type2","Four-Year")</f>
        <v>1457</v>
      </c>
      <c r="K73" s="116">
        <f>GETPIVOTDATA("Sum of New G E-Learning",'Pivot Table for Fact Book'!$A$3,"State","KY","type",5,"Type2","Four-Year")</f>
        <v>1398</v>
      </c>
      <c r="L73" s="195">
        <f>GETPIVOTDATA("Sum of Old G E-Learning",'Pivot Table for Fact Book'!$A$3,"State","KY","type",6,"Type2","Four-Year")</f>
        <v>0</v>
      </c>
      <c r="M73" s="116">
        <f>GETPIVOTDATA("Sum of New G E-Learning",'Pivot Table for Fact Book'!$A$3,"State","KY","type",6,"Type2","Four-Year")</f>
        <v>0</v>
      </c>
      <c r="N73" s="195">
        <f>GETPIVOTDATA("Sum of Old G E-Learning",'Pivot Table for Fact Book'!$A$3,"State","KY","type",15,"Type2","Four-Year")</f>
        <v>0</v>
      </c>
      <c r="O73" s="116">
        <f>GETPIVOTDATA("Sum of New G E-Learning",'Pivot Table for Fact Book'!$A$3,"State","KY","type",15,"Type2","Four-Year")</f>
        <v>0</v>
      </c>
      <c r="P73" s="196">
        <f>GETPIVOTDATA("Sum of Old G E-Learning",'Pivot Table for Fact Book'!$A$3,"State","KY","Type2","Four-Year")</f>
        <v>61701</v>
      </c>
      <c r="Q73" s="196">
        <f>GETPIVOTDATA("Sum of New G E-Learning",'Pivot Table for Fact Book'!$A$3,"State","KY","Type2","Four-Year")</f>
        <v>73022</v>
      </c>
      <c r="R73" s="195">
        <f>GETPIVOTDATA("Sum of Old G E-Learning",'Pivot Table for Fact Book'!$A$3,"State","KY","type",7,"Type2","Two-Year")</f>
        <v>0</v>
      </c>
      <c r="S73" s="197">
        <f>GETPIVOTDATA("Sum of New G E-Learning",'Pivot Table for Fact Book'!$A$3,"State","KY","type",7,"Type2","Two-Year")</f>
        <v>0</v>
      </c>
      <c r="T73" s="197">
        <f>GETPIVOTDATA("Sum of Old G E-Learning",'Pivot Table for Fact Book'!$A$3,"State","KY","type",8,"Type2","Two-Year")</f>
        <v>0</v>
      </c>
      <c r="U73" s="197">
        <f>GETPIVOTDATA("Sum of New G E-Learning",'Pivot Table for Fact Book'!$A$3,"State","KY","type",8,"Type2","Two-Year")</f>
        <v>0</v>
      </c>
      <c r="V73" s="197">
        <f>GETPIVOTDATA("Sum of Old G E-Learning",'Pivot Table for Fact Book'!$A$3,"State","KY","type",9,"Type2","Two-Year")</f>
        <v>0</v>
      </c>
      <c r="W73" s="197">
        <f>GETPIVOTDATA("Sum of New G E-Learning",'Pivot Table for Fact Book'!$A$3,"State","KY","type",9,"Type2","Two-Year")</f>
        <v>0</v>
      </c>
      <c r="X73" s="197">
        <f>GETPIVOTDATA("Sum of Old G E-Learning",'Pivot Table for Fact Book'!$A$3,"State","KY","type",10,"Type2","Two-Year")</f>
        <v>0</v>
      </c>
      <c r="Y73" s="197">
        <f>GETPIVOTDATA("Sum of New G E-Learning",'Pivot Table for Fact Book'!$A$3,"State","KY","type",10,"Type2","Two-Year")</f>
        <v>0</v>
      </c>
      <c r="Z73" s="198">
        <f>GETPIVOTDATA("Sum of Old G E-Learning",'Pivot Table for Fact Book'!$A$3,"State","KY","Type2","Two-Year")</f>
        <v>0</v>
      </c>
      <c r="AA73" s="198">
        <f>GETPIVOTDATA("Sum of New G E-Learning",'Pivot Table for Fact Book'!$A$3,"State","KY","Type2","Two-Year")</f>
        <v>0</v>
      </c>
      <c r="AB73" s="195">
        <f>GETPIVOTDATA("Sum of Old G E-Learning",'Pivot Table for Fact Book'!$A$3,"State","KY","type",12,"Type2","Technical")</f>
        <v>0</v>
      </c>
      <c r="AC73" s="197">
        <f>GETPIVOTDATA("Sum of New G E-Learning",'Pivot Table for Fact Book'!$A$3,"State","KY","type",12,"Type2","Technical")</f>
        <v>0</v>
      </c>
      <c r="AD73" s="197">
        <f>GETPIVOTDATA("Sum of Old G E-Learning",'Pivot Table for Fact Book'!$A$3,"State","KY","type",13,"Type2","Technical")</f>
        <v>0</v>
      </c>
      <c r="AE73" s="197">
        <f>GETPIVOTDATA("Sum of New G E-Learning",'Pivot Table for Fact Book'!$A$3,"State","KY","type",13,"Type2","Technical")</f>
        <v>0</v>
      </c>
      <c r="AF73" s="197">
        <f>GETPIVOTDATA("Sum of Old G E-Learning",'Pivot Table for Fact Book'!$A$3,"State","KY","type",14,"Type2","Technical")</f>
        <v>0</v>
      </c>
      <c r="AG73" s="197">
        <f>GETPIVOTDATA("Sum of New G E-Learning",'Pivot Table for Fact Book'!$A$3,"State","KY","type",14,"Type2","Technical")</f>
        <v>0</v>
      </c>
      <c r="AH73" s="199">
        <f>GETPIVOTDATA("Sum of Old G E-Learning",'Pivot Table for Fact Book'!$A$3,"State","KY","Type2","Technical")</f>
        <v>0</v>
      </c>
      <c r="AI73" s="199">
        <f>GETPIVOTDATA("Sum of New G E-Learning",'Pivot Table for Fact Book'!$A$3,"State","KY","Type2","Technical")</f>
        <v>0</v>
      </c>
      <c r="AJ73" s="1"/>
    </row>
    <row r="74" spans="1:36">
      <c r="A74" s="175" t="s">
        <v>226</v>
      </c>
      <c r="B74" s="195">
        <f>GETPIVOTDATA("Sum of Old G E-Learning",'Pivot Table for Fact Book'!$A$3,"State","LA","type",1,"Type2","Four-Year")</f>
        <v>2004</v>
      </c>
      <c r="C74" s="116">
        <f>GETPIVOTDATA("Sum of New G E-Learning",'Pivot Table for Fact Book'!$A$3,"State","LA","type",1,"Type2","Four-Year")</f>
        <v>0</v>
      </c>
      <c r="D74" s="195">
        <f>GETPIVOTDATA("Sum of Old G E-Learning",'Pivot Table for Fact Book'!$A$3,"State","LA","type",2,"Type2","Four-Year")</f>
        <v>4437</v>
      </c>
      <c r="E74" s="116">
        <f>GETPIVOTDATA("Sum of New G E-Learning",'Pivot Table for Fact Book'!$A$3,"State","LA","type",2,"Type2","Four-Year")</f>
        <v>1351</v>
      </c>
      <c r="F74" s="195">
        <f>GETPIVOTDATA("Sum of Old G E-Learning",'Pivot Table for Fact Book'!$A$3,"State","LA","type",3,"Type2","Four-Year")</f>
        <v>4478</v>
      </c>
      <c r="G74" s="116">
        <f>GETPIVOTDATA("Sum of New G E-Learning",'Pivot Table for Fact Book'!$A$3,"State","LA","type",3,"Type2","Four-Year")</f>
        <v>5149</v>
      </c>
      <c r="H74" s="195">
        <f>GETPIVOTDATA("Sum of Old G E-Learning",'Pivot Table for Fact Book'!$A$3,"State","LA","type",4,"Type2","Four-Year")</f>
        <v>12008</v>
      </c>
      <c r="I74" s="116">
        <f>GETPIVOTDATA("Sum of New G E-Learning",'Pivot Table for Fact Book'!$A$3,"State","LA","type",4,"Type2","Four-Year")</f>
        <v>16840</v>
      </c>
      <c r="J74" s="195">
        <f>GETPIVOTDATA("Sum of Old G E-Learning",'Pivot Table for Fact Book'!$A$3,"State","LA","type",5,"Type2","Four-Year")</f>
        <v>0</v>
      </c>
      <c r="K74" s="116">
        <f>GETPIVOTDATA("Sum of New G E-Learning",'Pivot Table for Fact Book'!$A$3,"State","LA","type",5,"Type2","Four-Year")</f>
        <v>0</v>
      </c>
      <c r="L74" s="195">
        <f>GETPIVOTDATA("Sum of Old G E-Learning",'Pivot Table for Fact Book'!$A$3,"State","LA","type",6,"Type2","Four-Year")</f>
        <v>0</v>
      </c>
      <c r="M74" s="116">
        <f>GETPIVOTDATA("Sum of New G E-Learning",'Pivot Table for Fact Book'!$A$3,"State","LA","type",6,"Type2","Four-Year")</f>
        <v>0</v>
      </c>
      <c r="N74" s="195">
        <f>GETPIVOTDATA("Sum of Old G E-Learning",'Pivot Table for Fact Book'!$A$3,"State","LA","type",15,"Type2","Four-Year")</f>
        <v>0</v>
      </c>
      <c r="O74" s="116">
        <f>GETPIVOTDATA("Sum of New G E-Learning",'Pivot Table for Fact Book'!$A$3,"State","LA","type",15,"Type2","Four-Year")</f>
        <v>0</v>
      </c>
      <c r="P74" s="196">
        <f>GETPIVOTDATA("Sum of Old G E-Learning",'Pivot Table for Fact Book'!$A$3,"State","LA","Type2","Four-Year")</f>
        <v>22927</v>
      </c>
      <c r="Q74" s="196">
        <f>GETPIVOTDATA("Sum of New G E-Learning",'Pivot Table for Fact Book'!$A$3,"State","LA","Type2","Four-Year")</f>
        <v>23340</v>
      </c>
      <c r="R74" s="195">
        <f>GETPIVOTDATA("Sum of Old G E-Learning",'Pivot Table for Fact Book'!$A$3,"State","LA","type",7,"Type2","Two-Year")</f>
        <v>0</v>
      </c>
      <c r="S74" s="197">
        <f>GETPIVOTDATA("Sum of New G E-Learning",'Pivot Table for Fact Book'!$A$3,"State","LA","type",7,"Type2","Two-Year")</f>
        <v>0</v>
      </c>
      <c r="T74" s="197">
        <f>GETPIVOTDATA("Sum of Old G E-Learning",'Pivot Table for Fact Book'!$A$3,"State","LA","type",8,"Type2","Two-Year")</f>
        <v>0</v>
      </c>
      <c r="U74" s="197">
        <f>GETPIVOTDATA("Sum of New G E-Learning",'Pivot Table for Fact Book'!$A$3,"State","LA","type",8,"Type2","Two-Year")</f>
        <v>0</v>
      </c>
      <c r="V74" s="197">
        <f>GETPIVOTDATA("Sum of Old G E-Learning",'Pivot Table for Fact Book'!$A$3,"State","LA","type",9,"Type2","Two-Year")</f>
        <v>0</v>
      </c>
      <c r="W74" s="197">
        <f>GETPIVOTDATA("Sum of New G E-Learning",'Pivot Table for Fact Book'!$A$3,"State","LA","type",9,"Type2","Two-Year")</f>
        <v>0</v>
      </c>
      <c r="X74" s="197">
        <f>GETPIVOTDATA("Sum of Old G E-Learning",'Pivot Table for Fact Book'!$A$3,"State","LA","type",10,"Type2","Two-Year")</f>
        <v>0</v>
      </c>
      <c r="Y74" s="197">
        <f>GETPIVOTDATA("Sum of New G E-Learning",'Pivot Table for Fact Book'!$A$3,"State","LA","type",10,"Type2","Two-Year")</f>
        <v>0</v>
      </c>
      <c r="Z74" s="198">
        <f>GETPIVOTDATA("Sum of Old G E-Learning",'Pivot Table for Fact Book'!$A$3,"State","LA","Type2","Two-Year")</f>
        <v>0</v>
      </c>
      <c r="AA74" s="198">
        <f>GETPIVOTDATA("Sum of New G E-Learning",'Pivot Table for Fact Book'!$A$3,"State","LA","Type2","Two-Year")</f>
        <v>0</v>
      </c>
      <c r="AB74" s="195">
        <f>GETPIVOTDATA("Sum of Old G E-Learning",'Pivot Table for Fact Book'!$A$3,"State","LA","type",12,"Type2","Technical")</f>
        <v>0</v>
      </c>
      <c r="AC74" s="197">
        <f>GETPIVOTDATA("Sum of New G E-Learning",'Pivot Table for Fact Book'!$A$3,"State","LA","type",12,"Type2","Technical")</f>
        <v>0</v>
      </c>
      <c r="AD74" s="197">
        <f>GETPIVOTDATA("Sum of Old G E-Learning",'Pivot Table for Fact Book'!$A$3,"State","LA","type",13,"Type2","Technical")</f>
        <v>0</v>
      </c>
      <c r="AE74" s="197">
        <f>GETPIVOTDATA("Sum of New G E-Learning",'Pivot Table for Fact Book'!$A$3,"State","LA","type",13,"Type2","Technical")</f>
        <v>0</v>
      </c>
      <c r="AF74" s="197">
        <f>GETPIVOTDATA("Sum of Old G E-Learning",'Pivot Table for Fact Book'!$A$3,"State","LA","type",14,"Type2","Technical")</f>
        <v>0</v>
      </c>
      <c r="AG74" s="197">
        <f>GETPIVOTDATA("Sum of New G E-Learning",'Pivot Table for Fact Book'!$A$3,"State","LA","type",14,"Type2","Technical")</f>
        <v>0</v>
      </c>
      <c r="AH74" s="199">
        <f>GETPIVOTDATA("Sum of Old G E-Learning",'Pivot Table for Fact Book'!$A$3,"State","LA","Type2","Technical")</f>
        <v>0</v>
      </c>
      <c r="AI74" s="199">
        <f>GETPIVOTDATA("Sum of New G E-Learning",'Pivot Table for Fact Book'!$A$3,"State","LA","Type2","Technical")</f>
        <v>0</v>
      </c>
      <c r="AJ74" s="1"/>
    </row>
    <row r="75" spans="1:36">
      <c r="A75" s="175" t="s">
        <v>227</v>
      </c>
      <c r="B75" s="195">
        <f>GETPIVOTDATA("Sum of Old G E-Learning",'Pivot Table for Fact Book'!$A$3,"State","MD","type",1,"Type2","Four-Year")</f>
        <v>4066</v>
      </c>
      <c r="C75" s="116">
        <f>GETPIVOTDATA("Sum of New G E-Learning",'Pivot Table for Fact Book'!$A$3,"State","MD","type",1,"Type2","Four-Year")</f>
        <v>3829</v>
      </c>
      <c r="D75" s="195">
        <f>GETPIVOTDATA("Sum of Old G E-Learning",'Pivot Table for Fact Book'!$A$3,"State","MD","type",2,"Type2","Four-Year")</f>
        <v>3058</v>
      </c>
      <c r="E75" s="116">
        <f>GETPIVOTDATA("Sum of New G E-Learning",'Pivot Table for Fact Book'!$A$3,"State","MD","type",2,"Type2","Four-Year")</f>
        <v>3483</v>
      </c>
      <c r="F75" s="195">
        <f>GETPIVOTDATA("Sum of Old G E-Learning",'Pivot Table for Fact Book'!$A$3,"State","MD","type",3,"Type2","Four-Year")</f>
        <v>3231</v>
      </c>
      <c r="G75" s="116">
        <f>GETPIVOTDATA("Sum of New G E-Learning",'Pivot Table for Fact Book'!$A$3,"State","MD","type",3,"Type2","Four-Year")</f>
        <v>3651</v>
      </c>
      <c r="H75" s="195">
        <f>GETPIVOTDATA("Sum of Old G E-Learning",'Pivot Table for Fact Book'!$A$3,"State","MD","type",4,"Type2","Four-Year")</f>
        <v>10982</v>
      </c>
      <c r="I75" s="116">
        <f>GETPIVOTDATA("Sum of New G E-Learning",'Pivot Table for Fact Book'!$A$3,"State","MD","type",4,"Type2","Four-Year")</f>
        <v>12622</v>
      </c>
      <c r="J75" s="195">
        <f>GETPIVOTDATA("Sum of Old G E-Learning",'Pivot Table for Fact Book'!$A$3,"State","MD","type",5,"Type2","Four-Year")</f>
        <v>0</v>
      </c>
      <c r="K75" s="116">
        <f>GETPIVOTDATA("Sum of New G E-Learning",'Pivot Table for Fact Book'!$A$3,"State","MD","type",5,"Type2","Four-Year")</f>
        <v>0</v>
      </c>
      <c r="L75" s="195">
        <f>GETPIVOTDATA("Sum of Old G E-Learning",'Pivot Table for Fact Book'!$A$3,"State","MD","type",6,"Type2","Four-Year")</f>
        <v>0</v>
      </c>
      <c r="M75" s="116">
        <f>GETPIVOTDATA("Sum of New G E-Learning",'Pivot Table for Fact Book'!$A$3,"State","MD","type",6,"Type2","Four-Year")</f>
        <v>0</v>
      </c>
      <c r="N75" s="195">
        <f>GETPIVOTDATA("Sum of Old G E-Learning",'Pivot Table for Fact Book'!$A$3,"State","MD","type",15,"Type2","Four-Year")</f>
        <v>109965</v>
      </c>
      <c r="O75" s="116">
        <f>GETPIVOTDATA("Sum of New G E-Learning",'Pivot Table for Fact Book'!$A$3,"State","MD","type",15,"Type2","Four-Year")</f>
        <v>103308</v>
      </c>
      <c r="P75" s="196">
        <f>GETPIVOTDATA("Sum of Old G E-Learning",'Pivot Table for Fact Book'!$A$3,"State","MD","Type2","Four-Year")</f>
        <v>131302</v>
      </c>
      <c r="Q75" s="196">
        <f>GETPIVOTDATA("Sum of New G E-Learning",'Pivot Table for Fact Book'!$A$3,"State","MD","Type2","Four-Year")</f>
        <v>126893</v>
      </c>
      <c r="R75" s="195">
        <f>GETPIVOTDATA("Sum of Old G E-Learning",'Pivot Table for Fact Book'!$A$3,"State","MD","type",7,"Type2","Two-Year")</f>
        <v>0</v>
      </c>
      <c r="S75" s="197">
        <f>GETPIVOTDATA("Sum of New G E-Learning",'Pivot Table for Fact Book'!$A$3,"State","MD","type",7,"Type2","Two-Year")</f>
        <v>0</v>
      </c>
      <c r="T75" s="197">
        <f>GETPIVOTDATA("Sum of Old G E-Learning",'Pivot Table for Fact Book'!$A$3,"State","MD","type",8,"Type2","Two-Year")</f>
        <v>0</v>
      </c>
      <c r="U75" s="197">
        <f>GETPIVOTDATA("Sum of New G E-Learning",'Pivot Table for Fact Book'!$A$3,"State","MD","type",8,"Type2","Two-Year")</f>
        <v>0</v>
      </c>
      <c r="V75" s="197">
        <f>GETPIVOTDATA("Sum of Old G E-Learning",'Pivot Table for Fact Book'!$A$3,"State","MD","type",9,"Type2","Two-Year")</f>
        <v>0</v>
      </c>
      <c r="W75" s="197">
        <f>GETPIVOTDATA("Sum of New G E-Learning",'Pivot Table for Fact Book'!$A$3,"State","MD","type",9,"Type2","Two-Year")</f>
        <v>0</v>
      </c>
      <c r="X75" s="197">
        <f>GETPIVOTDATA("Sum of Old G E-Learning",'Pivot Table for Fact Book'!$A$3,"State","MD","type",10,"Type2","Two-Year")</f>
        <v>0</v>
      </c>
      <c r="Y75" s="197">
        <f>GETPIVOTDATA("Sum of New G E-Learning",'Pivot Table for Fact Book'!$A$3,"State","MD","type",10,"Type2","Two-Year")</f>
        <v>0</v>
      </c>
      <c r="Z75" s="198">
        <f>GETPIVOTDATA("Sum of Old G E-Learning",'Pivot Table for Fact Book'!$A$3,"State","MD","Type2","Two-Year")</f>
        <v>0</v>
      </c>
      <c r="AA75" s="198">
        <f>GETPIVOTDATA("Sum of New G E-Learning",'Pivot Table for Fact Book'!$A$3,"State","MD","Type2","Two-Year")</f>
        <v>0</v>
      </c>
      <c r="AB75" s="195">
        <f>GETPIVOTDATA("Sum of Old G E-Learning",'Pivot Table for Fact Book'!$A$3,"State","MD","type",12,"Type2","Technical")</f>
        <v>0</v>
      </c>
      <c r="AC75" s="197">
        <f>GETPIVOTDATA("Sum of New G E-Learning",'Pivot Table for Fact Book'!$A$3,"State","MD","type",12,"Type2","Technical")</f>
        <v>0</v>
      </c>
      <c r="AD75" s="197">
        <f>GETPIVOTDATA("Sum of Old G E-Learning",'Pivot Table for Fact Book'!$A$3,"State","MD","type",13,"Type2","Technical")</f>
        <v>0</v>
      </c>
      <c r="AE75" s="197">
        <f>GETPIVOTDATA("Sum of New G E-Learning",'Pivot Table for Fact Book'!$A$3,"State","MD","type",13,"Type2","Technical")</f>
        <v>0</v>
      </c>
      <c r="AF75" s="197">
        <f>GETPIVOTDATA("Sum of Old G E-Learning",'Pivot Table for Fact Book'!$A$3,"State","MD","type",14,"Type2","Technical")</f>
        <v>0</v>
      </c>
      <c r="AG75" s="197">
        <f>GETPIVOTDATA("Sum of New G E-Learning",'Pivot Table for Fact Book'!$A$3,"State","MD","type",14,"Type2","Technical")</f>
        <v>0</v>
      </c>
      <c r="AH75" s="199">
        <f>GETPIVOTDATA("Sum of Old G E-Learning",'Pivot Table for Fact Book'!$A$3,"State","MD","Type2","Technical")</f>
        <v>0</v>
      </c>
      <c r="AI75" s="199">
        <f>GETPIVOTDATA("Sum of New G E-Learning",'Pivot Table for Fact Book'!$A$3,"State","MD","Type2","Technical")</f>
        <v>0</v>
      </c>
      <c r="AJ75" s="1"/>
    </row>
    <row r="76" spans="1:36">
      <c r="A76" s="175" t="s">
        <v>204</v>
      </c>
      <c r="B76" s="195">
        <f>GETPIVOTDATA("Sum of Old G E-Learning",'Pivot Table for Fact Book'!$A$3,"State","MS","type",1,"Type2","Four-Year")</f>
        <v>17562</v>
      </c>
      <c r="C76" s="116">
        <f>GETPIVOTDATA("Sum of New G E-Learning",'Pivot Table for Fact Book'!$A$3,"State","MS","type",1,"Type2","Four-Year")</f>
        <v>20741</v>
      </c>
      <c r="D76" s="195">
        <f>GETPIVOTDATA("Sum of Old G E-Learning",'Pivot Table for Fact Book'!$A$3,"State","MS","type",2,"Type2","Four-Year")</f>
        <v>2790</v>
      </c>
      <c r="E76" s="116">
        <f>GETPIVOTDATA("Sum of New G E-Learning",'Pivot Table for Fact Book'!$A$3,"State","MS","type",2,"Type2","Four-Year")</f>
        <v>3144</v>
      </c>
      <c r="F76" s="195">
        <f>GETPIVOTDATA("Sum of Old G E-Learning",'Pivot Table for Fact Book'!$A$3,"State","MS","type",3,"Type2","Four-Year")</f>
        <v>0</v>
      </c>
      <c r="G76" s="116">
        <f>GETPIVOTDATA("Sum of New G E-Learning",'Pivot Table for Fact Book'!$A$3,"State","MS","type",3,"Type2","Four-Year")</f>
        <v>0</v>
      </c>
      <c r="H76" s="195">
        <f>GETPIVOTDATA("Sum of Old G E-Learning",'Pivot Table for Fact Book'!$A$3,"State","MS","type",4,"Type2","Four-Year")</f>
        <v>1454</v>
      </c>
      <c r="I76" s="116">
        <f>GETPIVOTDATA("Sum of New G E-Learning",'Pivot Table for Fact Book'!$A$3,"State","MS","type",4,"Type2","Four-Year")</f>
        <v>6453</v>
      </c>
      <c r="J76" s="195">
        <f>GETPIVOTDATA("Sum of Old G E-Learning",'Pivot Table for Fact Book'!$A$3,"State","MS","type",5,"Type2","Four-Year")</f>
        <v>786</v>
      </c>
      <c r="K76" s="116">
        <f>GETPIVOTDATA("Sum of New G E-Learning",'Pivot Table for Fact Book'!$A$3,"State","MS","type",5,"Type2","Four-Year")</f>
        <v>1494</v>
      </c>
      <c r="L76" s="195">
        <f>GETPIVOTDATA("Sum of Old G E-Learning",'Pivot Table for Fact Book'!$A$3,"State","MS","type",6,"Type2","Four-Year")</f>
        <v>0</v>
      </c>
      <c r="M76" s="116">
        <f>GETPIVOTDATA("Sum of New G E-Learning",'Pivot Table for Fact Book'!$A$3,"State","MS","type",6,"Type2","Four-Year")</f>
        <v>0</v>
      </c>
      <c r="N76" s="195">
        <f>GETPIVOTDATA("Sum of Old G E-Learning",'Pivot Table for Fact Book'!$A$3,"State","MS","type",15,"Type2","Four-Year")</f>
        <v>0</v>
      </c>
      <c r="O76" s="116">
        <f>GETPIVOTDATA("Sum of New G E-Learning",'Pivot Table for Fact Book'!$A$3,"State","MS","type",15,"Type2","Four-Year")</f>
        <v>0</v>
      </c>
      <c r="P76" s="196">
        <f>GETPIVOTDATA("Sum of Old G E-Learning",'Pivot Table for Fact Book'!$A$3,"State","MS","Type2","Four-Year")</f>
        <v>22592</v>
      </c>
      <c r="Q76" s="196">
        <f>GETPIVOTDATA("Sum of New G E-Learning",'Pivot Table for Fact Book'!$A$3,"State","MS","Type2","Four-Year")</f>
        <v>31832</v>
      </c>
      <c r="R76" s="195">
        <f>GETPIVOTDATA("Sum of Old G E-Learning",'Pivot Table for Fact Book'!$A$3,"State","MS","type",7,"Type2","Two-Year")</f>
        <v>0</v>
      </c>
      <c r="S76" s="197">
        <f>GETPIVOTDATA("Sum of New G E-Learning",'Pivot Table for Fact Book'!$A$3,"State","MS","type",7,"Type2","Two-Year")</f>
        <v>0</v>
      </c>
      <c r="T76" s="197">
        <f>GETPIVOTDATA("Sum of Old G E-Learning",'Pivot Table for Fact Book'!$A$3,"State","MS","type",8,"Type2","Two-Year")</f>
        <v>0</v>
      </c>
      <c r="U76" s="197">
        <f>GETPIVOTDATA("Sum of New G E-Learning",'Pivot Table for Fact Book'!$A$3,"State","MS","type",8,"Type2","Two-Year")</f>
        <v>0</v>
      </c>
      <c r="V76" s="197">
        <f>GETPIVOTDATA("Sum of Old G E-Learning",'Pivot Table for Fact Book'!$A$3,"State","MS","type",9,"Type2","Two-Year")</f>
        <v>0</v>
      </c>
      <c r="W76" s="197">
        <f>GETPIVOTDATA("Sum of New G E-Learning",'Pivot Table for Fact Book'!$A$3,"State","MS","type",9,"Type2","Two-Year")</f>
        <v>0</v>
      </c>
      <c r="X76" s="197">
        <f>GETPIVOTDATA("Sum of Old G E-Learning",'Pivot Table for Fact Book'!$A$3,"State","MS","type",10,"Type2","Two-Year")</f>
        <v>0</v>
      </c>
      <c r="Y76" s="197">
        <f>GETPIVOTDATA("Sum of New G E-Learning",'Pivot Table for Fact Book'!$A$3,"State","MS","type",10,"Type2","Two-Year")</f>
        <v>0</v>
      </c>
      <c r="Z76" s="198">
        <f>GETPIVOTDATA("Sum of Old G E-Learning",'Pivot Table for Fact Book'!$A$3,"State","MS","Type2","Two-Year")</f>
        <v>0</v>
      </c>
      <c r="AA76" s="198">
        <f>GETPIVOTDATA("Sum of New G E-Learning",'Pivot Table for Fact Book'!$A$3,"State","MS","Type2","Two-Year")</f>
        <v>0</v>
      </c>
      <c r="AB76" s="195">
        <f>GETPIVOTDATA("Sum of Old G E-Learning",'Pivot Table for Fact Book'!$A$3,"State","MS","type",12,"Type2","Technical")</f>
        <v>0</v>
      </c>
      <c r="AC76" s="197">
        <f>GETPIVOTDATA("Sum of New G E-Learning",'Pivot Table for Fact Book'!$A$3,"State","MS","type",12,"Type2","Technical")</f>
        <v>0</v>
      </c>
      <c r="AD76" s="197">
        <f>GETPIVOTDATA("Sum of Old G E-Learning",'Pivot Table for Fact Book'!$A$3,"State","MS","type",13,"Type2","Technical")</f>
        <v>0</v>
      </c>
      <c r="AE76" s="197">
        <f>GETPIVOTDATA("Sum of New G E-Learning",'Pivot Table for Fact Book'!$A$3,"State","MS","type",13,"Type2","Technical")</f>
        <v>0</v>
      </c>
      <c r="AF76" s="197">
        <f>GETPIVOTDATA("Sum of Old G E-Learning",'Pivot Table for Fact Book'!$A$3,"State","MS","type",14,"Type2","Technical")</f>
        <v>0</v>
      </c>
      <c r="AG76" s="197">
        <f>GETPIVOTDATA("Sum of New G E-Learning",'Pivot Table for Fact Book'!$A$3,"State","MS","type",14,"Type2","Technical")</f>
        <v>0</v>
      </c>
      <c r="AH76" s="199">
        <f>GETPIVOTDATA("Sum of Old G E-Learning",'Pivot Table for Fact Book'!$A$3,"State","MS","Type2","Technical")</f>
        <v>0</v>
      </c>
      <c r="AI76" s="199">
        <f>GETPIVOTDATA("Sum of New G E-Learning",'Pivot Table for Fact Book'!$A$3,"State","MS","Type2","Technical")</f>
        <v>0</v>
      </c>
      <c r="AJ76" s="1"/>
    </row>
    <row r="77" spans="1:36">
      <c r="A77" s="175" t="s">
        <v>212</v>
      </c>
      <c r="B77" s="195">
        <f>GETPIVOTDATA("Sum of Old G E-Learning",'Pivot Table for Fact Book'!$A$3,"State","NC","type",1,"Type2","Four-Year")</f>
        <v>16857</v>
      </c>
      <c r="C77" s="116">
        <f>GETPIVOTDATA("Sum of New G E-Learning",'Pivot Table for Fact Book'!$A$3,"State","NC","type",1,"Type2","Four-Year")</f>
        <v>23878</v>
      </c>
      <c r="D77" s="195">
        <f>GETPIVOTDATA("Sum of Old G E-Learning",'Pivot Table for Fact Book'!$A$3,"State","NC","type",2,"Type2","Four-Year")</f>
        <v>12341</v>
      </c>
      <c r="E77" s="116">
        <f>GETPIVOTDATA("Sum of New G E-Learning",'Pivot Table for Fact Book'!$A$3,"State","NC","type",2,"Type2","Four-Year")</f>
        <v>11758</v>
      </c>
      <c r="F77" s="195">
        <f>GETPIVOTDATA("Sum of Old G E-Learning",'Pivot Table for Fact Book'!$A$3,"State","NC","type",3,"Type2","Four-Year")</f>
        <v>63852</v>
      </c>
      <c r="G77" s="116">
        <f>GETPIVOTDATA("Sum of New G E-Learning",'Pivot Table for Fact Book'!$A$3,"State","NC","type",3,"Type2","Four-Year")</f>
        <v>72497</v>
      </c>
      <c r="H77" s="195">
        <f>GETPIVOTDATA("Sum of Old G E-Learning",'Pivot Table for Fact Book'!$A$3,"State","NC","type",4,"Type2","Four-Year")</f>
        <v>4670</v>
      </c>
      <c r="I77" s="116">
        <f>GETPIVOTDATA("Sum of New G E-Learning",'Pivot Table for Fact Book'!$A$3,"State","NC","type",4,"Type2","Four-Year")</f>
        <v>2127</v>
      </c>
      <c r="J77" s="195">
        <f>GETPIVOTDATA("Sum of Old G E-Learning",'Pivot Table for Fact Book'!$A$3,"State","NC","type",5,"Type2","Four-Year")</f>
        <v>3088</v>
      </c>
      <c r="K77" s="116">
        <f>GETPIVOTDATA("Sum of New G E-Learning",'Pivot Table for Fact Book'!$A$3,"State","NC","type",5,"Type2","Four-Year")</f>
        <v>5292</v>
      </c>
      <c r="L77" s="195">
        <f>GETPIVOTDATA("Sum of Old G E-Learning",'Pivot Table for Fact Book'!$A$3,"State","NC","type",6,"Type2","Four-Year")</f>
        <v>120</v>
      </c>
      <c r="M77" s="116">
        <f>GETPIVOTDATA("Sum of New G E-Learning",'Pivot Table for Fact Book'!$A$3,"State","NC","type",6,"Type2","Four-Year")</f>
        <v>234</v>
      </c>
      <c r="N77" s="195">
        <f>GETPIVOTDATA("Sum of Old G E-Learning",'Pivot Table for Fact Book'!$A$3,"State","NC","type",15,"Type2","Four-Year")</f>
        <v>0</v>
      </c>
      <c r="O77" s="116">
        <f>GETPIVOTDATA("Sum of New G E-Learning",'Pivot Table for Fact Book'!$A$3,"State","NC","type",15,"Type2","Four-Year")</f>
        <v>0</v>
      </c>
      <c r="P77" s="196">
        <f>GETPIVOTDATA("Sum of Old G E-Learning",'Pivot Table for Fact Book'!$A$3,"State","NC","Type2","Four-Year")</f>
        <v>100928</v>
      </c>
      <c r="Q77" s="196">
        <f>GETPIVOTDATA("Sum of New G E-Learning",'Pivot Table for Fact Book'!$A$3,"State","NC","Type2","Four-Year")</f>
        <v>115786</v>
      </c>
      <c r="R77" s="195">
        <f>GETPIVOTDATA("Sum of Old G E-Learning",'Pivot Table for Fact Book'!$A$3,"State","NC","type",7,"Type2","Two-Year")</f>
        <v>0</v>
      </c>
      <c r="S77" s="197">
        <f>GETPIVOTDATA("Sum of New G E-Learning",'Pivot Table for Fact Book'!$A$3,"State","NC","type",7,"Type2","Two-Year")</f>
        <v>0</v>
      </c>
      <c r="T77" s="197">
        <f>GETPIVOTDATA("Sum of Old G E-Learning",'Pivot Table for Fact Book'!$A$3,"State","NC","type",8,"Type2","Two-Year")</f>
        <v>0</v>
      </c>
      <c r="U77" s="197">
        <f>GETPIVOTDATA("Sum of New G E-Learning",'Pivot Table for Fact Book'!$A$3,"State","NC","type",8,"Type2","Two-Year")</f>
        <v>0</v>
      </c>
      <c r="V77" s="197">
        <f>GETPIVOTDATA("Sum of Old G E-Learning",'Pivot Table for Fact Book'!$A$3,"State","NC","type",9,"Type2","Two-Year")</f>
        <v>0</v>
      </c>
      <c r="W77" s="197">
        <f>GETPIVOTDATA("Sum of New G E-Learning",'Pivot Table for Fact Book'!$A$3,"State","NC","type",9,"Type2","Two-Year")</f>
        <v>0</v>
      </c>
      <c r="X77" s="197">
        <f>GETPIVOTDATA("Sum of Old G E-Learning",'Pivot Table for Fact Book'!$A$3,"State","NC","type",10,"Type2","Two-Year")</f>
        <v>0</v>
      </c>
      <c r="Y77" s="197">
        <f>GETPIVOTDATA("Sum of New G E-Learning",'Pivot Table for Fact Book'!$A$3,"State","NC","type",10,"Type2","Two-Year")</f>
        <v>0</v>
      </c>
      <c r="Z77" s="198">
        <f>GETPIVOTDATA("Sum of Old G E-Learning",'Pivot Table for Fact Book'!$A$3,"State","NC","Type2","Two-Year")</f>
        <v>0</v>
      </c>
      <c r="AA77" s="198">
        <f>GETPIVOTDATA("Sum of New G E-Learning",'Pivot Table for Fact Book'!$A$3,"State","NC","Type2","Two-Year")</f>
        <v>0</v>
      </c>
      <c r="AB77" s="195">
        <f>GETPIVOTDATA("Sum of Old G E-Learning",'Pivot Table for Fact Book'!$A$3,"State","NC","type",12,"Type2","Technical")</f>
        <v>0</v>
      </c>
      <c r="AC77" s="197">
        <f>GETPIVOTDATA("Sum of New G E-Learning",'Pivot Table for Fact Book'!$A$3,"State","NC","type",12,"Type2","Technical")</f>
        <v>0</v>
      </c>
      <c r="AD77" s="197">
        <f>GETPIVOTDATA("Sum of Old G E-Learning",'Pivot Table for Fact Book'!$A$3,"State","NC","type",13,"Type2","Technical")</f>
        <v>0</v>
      </c>
      <c r="AE77" s="197">
        <f>GETPIVOTDATA("Sum of New G E-Learning",'Pivot Table for Fact Book'!$A$3,"State","NC","type",13,"Type2","Technical")</f>
        <v>0</v>
      </c>
      <c r="AF77" s="197">
        <f>GETPIVOTDATA("Sum of Old G E-Learning",'Pivot Table for Fact Book'!$A$3,"State","NC","type",14,"Type2","Technical")</f>
        <v>0</v>
      </c>
      <c r="AG77" s="197">
        <f>GETPIVOTDATA("Sum of New G E-Learning",'Pivot Table for Fact Book'!$A$3,"State","NC","type",14,"Type2","Technical")</f>
        <v>0</v>
      </c>
      <c r="AH77" s="199">
        <f>GETPIVOTDATA("Sum of Old G E-Learning",'Pivot Table for Fact Book'!$A$3,"State","NC","Type2","Technical")</f>
        <v>0</v>
      </c>
      <c r="AI77" s="199">
        <f>GETPIVOTDATA("Sum of New G E-Learning",'Pivot Table for Fact Book'!$A$3,"State","NC","Type2","Technical")</f>
        <v>0</v>
      </c>
      <c r="AJ77" s="1"/>
    </row>
    <row r="78" spans="1:36">
      <c r="A78" s="175" t="s">
        <v>205</v>
      </c>
      <c r="B78" s="195">
        <f>GETPIVOTDATA("Sum of Old G E-Learning",'Pivot Table for Fact Book'!$A$3,"State","OK","type",1,"Type2","Four-Year")</f>
        <v>40840</v>
      </c>
      <c r="C78" s="116">
        <f>GETPIVOTDATA("Sum of New G E-Learning",'Pivot Table for Fact Book'!$A$3,"State","OK","type",1,"Type2","Four-Year")</f>
        <v>18076</v>
      </c>
      <c r="D78" s="195">
        <f>GETPIVOTDATA("Sum of Old G E-Learning",'Pivot Table for Fact Book'!$A$3,"State","OK","type",2,"Type2","Four-Year")</f>
        <v>0</v>
      </c>
      <c r="E78" s="116">
        <f>GETPIVOTDATA("Sum of New G E-Learning",'Pivot Table for Fact Book'!$A$3,"State","OK","type",2,"Type2","Four-Year")</f>
        <v>0</v>
      </c>
      <c r="F78" s="195">
        <f>GETPIVOTDATA("Sum of Old G E-Learning",'Pivot Table for Fact Book'!$A$3,"State","OK","type",3,"Type2","Four-Year")</f>
        <v>2889</v>
      </c>
      <c r="G78" s="116">
        <f>GETPIVOTDATA("Sum of New G E-Learning",'Pivot Table for Fact Book'!$A$3,"State","OK","type",3,"Type2","Four-Year")</f>
        <v>4399</v>
      </c>
      <c r="H78" s="195">
        <f>GETPIVOTDATA("Sum of Old G E-Learning",'Pivot Table for Fact Book'!$A$3,"State","OK","type",4,"Type2","Four-Year")</f>
        <v>0</v>
      </c>
      <c r="I78" s="116">
        <f>GETPIVOTDATA("Sum of New G E-Learning",'Pivot Table for Fact Book'!$A$3,"State","OK","type",4,"Type2","Four-Year")</f>
        <v>0</v>
      </c>
      <c r="J78" s="195">
        <f>GETPIVOTDATA("Sum of Old G E-Learning",'Pivot Table for Fact Book'!$A$3,"State","OK","type",5,"Type2","Four-Year")</f>
        <v>16222</v>
      </c>
      <c r="K78" s="116">
        <f>GETPIVOTDATA("Sum of New G E-Learning",'Pivot Table for Fact Book'!$A$3,"State","OK","type",5,"Type2","Four-Year")</f>
        <v>15170</v>
      </c>
      <c r="L78" s="195">
        <f>GETPIVOTDATA("Sum of Old G E-Learning",'Pivot Table for Fact Book'!$A$3,"State","OK","type",6,"Type2","Four-Year")</f>
        <v>0</v>
      </c>
      <c r="M78" s="116">
        <f>GETPIVOTDATA("Sum of New G E-Learning",'Pivot Table for Fact Book'!$A$3,"State","OK","type",6,"Type2","Four-Year")</f>
        <v>0</v>
      </c>
      <c r="N78" s="195">
        <f>GETPIVOTDATA("Sum of Old G E-Learning",'Pivot Table for Fact Book'!$A$3,"State","OK","type",15,"Type2","Four-Year")</f>
        <v>0</v>
      </c>
      <c r="O78" s="116">
        <f>GETPIVOTDATA("Sum of New G E-Learning",'Pivot Table for Fact Book'!$A$3,"State","OK","type",15,"Type2","Four-Year")</f>
        <v>0</v>
      </c>
      <c r="P78" s="196">
        <f>GETPIVOTDATA("Sum of Old G E-Learning",'Pivot Table for Fact Book'!$A$3,"State","OK","Type2","Four-Year")</f>
        <v>59951</v>
      </c>
      <c r="Q78" s="196">
        <f>GETPIVOTDATA("Sum of New G E-Learning",'Pivot Table for Fact Book'!$A$3,"State","OK","Type2","Four-Year")</f>
        <v>37645</v>
      </c>
      <c r="R78" s="195">
        <f>GETPIVOTDATA("Sum of Old G E-Learning",'Pivot Table for Fact Book'!$A$3,"State","OK","type",7,"Type2","Two-Year")</f>
        <v>0</v>
      </c>
      <c r="S78" s="197">
        <f>GETPIVOTDATA("Sum of New G E-Learning",'Pivot Table for Fact Book'!$A$3,"State","OK","type",7,"Type2","Two-Year")</f>
        <v>0</v>
      </c>
      <c r="T78" s="197">
        <f>GETPIVOTDATA("Sum of Old G E-Learning",'Pivot Table for Fact Book'!$A$3,"State","OK","type",8,"Type2","Two-Year")</f>
        <v>0</v>
      </c>
      <c r="U78" s="197">
        <f>GETPIVOTDATA("Sum of New G E-Learning",'Pivot Table for Fact Book'!$A$3,"State","OK","type",8,"Type2","Two-Year")</f>
        <v>0</v>
      </c>
      <c r="V78" s="197">
        <f>GETPIVOTDATA("Sum of Old G E-Learning",'Pivot Table for Fact Book'!$A$3,"State","OK","type",9,"Type2","Two-Year")</f>
        <v>0</v>
      </c>
      <c r="W78" s="197">
        <f>GETPIVOTDATA("Sum of New G E-Learning",'Pivot Table for Fact Book'!$A$3,"State","OK","type",9,"Type2","Two-Year")</f>
        <v>0</v>
      </c>
      <c r="X78" s="197">
        <f>GETPIVOTDATA("Sum of Old G E-Learning",'Pivot Table for Fact Book'!$A$3,"State","OK","type",10,"Type2","Two-Year")</f>
        <v>0</v>
      </c>
      <c r="Y78" s="197">
        <f>GETPIVOTDATA("Sum of New G E-Learning",'Pivot Table for Fact Book'!$A$3,"State","OK","type",10,"Type2","Two-Year")</f>
        <v>0</v>
      </c>
      <c r="Z78" s="198">
        <f>GETPIVOTDATA("Sum of Old G E-Learning",'Pivot Table for Fact Book'!$A$3,"State","OK","Type2","Two-Year")</f>
        <v>0</v>
      </c>
      <c r="AA78" s="198">
        <f>GETPIVOTDATA("Sum of New G E-Learning",'Pivot Table for Fact Book'!$A$3,"State","OK","Type2","Two-Year")</f>
        <v>0</v>
      </c>
      <c r="AB78" s="195">
        <f>GETPIVOTDATA("Sum of Old G E-Learning",'Pivot Table for Fact Book'!$A$3,"State","OK","type",12,"Type2","Technical")</f>
        <v>0</v>
      </c>
      <c r="AC78" s="197">
        <f>GETPIVOTDATA("Sum of New G E-Learning",'Pivot Table for Fact Book'!$A$3,"State","OK","type",12,"Type2","Technical")</f>
        <v>0</v>
      </c>
      <c r="AD78" s="197">
        <f>GETPIVOTDATA("Sum of Old G E-Learning",'Pivot Table for Fact Book'!$A$3,"State","OK","type",13,"Type2","Technical")</f>
        <v>0</v>
      </c>
      <c r="AE78" s="197">
        <f>GETPIVOTDATA("Sum of New G E-Learning",'Pivot Table for Fact Book'!$A$3,"State","OK","type",13,"Type2","Technical")</f>
        <v>0</v>
      </c>
      <c r="AF78" s="197">
        <f>GETPIVOTDATA("Sum of Old G E-Learning",'Pivot Table for Fact Book'!$A$3,"State","OK","type",14,"Type2","Technical")</f>
        <v>0</v>
      </c>
      <c r="AG78" s="197">
        <f>GETPIVOTDATA("Sum of New G E-Learning",'Pivot Table for Fact Book'!$A$3,"State","OK","type",14,"Type2","Technical")</f>
        <v>0</v>
      </c>
      <c r="AH78" s="199">
        <f>GETPIVOTDATA("Sum of Old G E-Learning",'Pivot Table for Fact Book'!$A$3,"State","OK","Type2","Technical")</f>
        <v>0</v>
      </c>
      <c r="AI78" s="199">
        <f>GETPIVOTDATA("Sum of New G E-Learning",'Pivot Table for Fact Book'!$A$3,"State","OK","Type2","Technical")</f>
        <v>0</v>
      </c>
      <c r="AJ78" s="1"/>
    </row>
    <row r="79" spans="1:36">
      <c r="A79" s="175" t="s">
        <v>228</v>
      </c>
      <c r="B79" s="195">
        <f>GETPIVOTDATA("Sum of Old G E-Learning",'Pivot Table for Fact Book'!$A$3,"State","SC","type",1,"Type2","Four-Year")</f>
        <v>16937</v>
      </c>
      <c r="C79" s="116">
        <f>GETPIVOTDATA("Sum of New G E-Learning",'Pivot Table for Fact Book'!$A$3,"State","SC","type",1,"Type2","Four-Year")</f>
        <v>27031</v>
      </c>
      <c r="D79" s="195">
        <f>GETPIVOTDATA("Sum of Old G E-Learning",'Pivot Table for Fact Book'!$A$3,"State","SC","type",2,"Type2","Four-Year")</f>
        <v>0</v>
      </c>
      <c r="E79" s="116">
        <f>GETPIVOTDATA("Sum of New G E-Learning",'Pivot Table for Fact Book'!$A$3,"State","SC","type",2,"Type2","Four-Year")</f>
        <v>0</v>
      </c>
      <c r="F79" s="195">
        <f>GETPIVOTDATA("Sum of Old G E-Learning",'Pivot Table for Fact Book'!$A$3,"State","SC","type",3,"Type2","Four-Year")</f>
        <v>132</v>
      </c>
      <c r="G79" s="116">
        <f>GETPIVOTDATA("Sum of New G E-Learning",'Pivot Table for Fact Book'!$A$3,"State","SC","type",3,"Type2","Four-Year")</f>
        <v>288</v>
      </c>
      <c r="H79" s="195">
        <f>GETPIVOTDATA("Sum of Old G E-Learning",'Pivot Table for Fact Book'!$A$3,"State","SC","type",4,"Type2","Four-Year")</f>
        <v>0</v>
      </c>
      <c r="I79" s="116">
        <f>GETPIVOTDATA("Sum of New G E-Learning",'Pivot Table for Fact Book'!$A$3,"State","SC","type",4,"Type2","Four-Year")</f>
        <v>581</v>
      </c>
      <c r="J79" s="195">
        <f>GETPIVOTDATA("Sum of Old G E-Learning",'Pivot Table for Fact Book'!$A$3,"State","SC","type",5,"Type2","Four-Year")</f>
        <v>2160</v>
      </c>
      <c r="K79" s="116">
        <f>GETPIVOTDATA("Sum of New G E-Learning",'Pivot Table for Fact Book'!$A$3,"State","SC","type",5,"Type2","Four-Year")</f>
        <v>2757</v>
      </c>
      <c r="L79" s="195">
        <f>GETPIVOTDATA("Sum of Old G E-Learning",'Pivot Table for Fact Book'!$A$3,"State","SC","type",6,"Type2","Four-Year")</f>
        <v>195</v>
      </c>
      <c r="M79" s="116">
        <f>GETPIVOTDATA("Sum of New G E-Learning",'Pivot Table for Fact Book'!$A$3,"State","SC","type",6,"Type2","Four-Year")</f>
        <v>213</v>
      </c>
      <c r="N79" s="195">
        <f>GETPIVOTDATA("Sum of Old G E-Learning",'Pivot Table for Fact Book'!$A$3,"State","SC","type",15,"Type2","Four-Year")</f>
        <v>0</v>
      </c>
      <c r="O79" s="116">
        <f>GETPIVOTDATA("Sum of New G E-Learning",'Pivot Table for Fact Book'!$A$3,"State","SC","type",15,"Type2","Four-Year")</f>
        <v>0</v>
      </c>
      <c r="P79" s="196">
        <f>GETPIVOTDATA("Sum of Old G E-Learning",'Pivot Table for Fact Book'!$A$3,"State","SC","Type2","Four-Year")</f>
        <v>19424</v>
      </c>
      <c r="Q79" s="196">
        <f>GETPIVOTDATA("Sum of New G E-Learning",'Pivot Table for Fact Book'!$A$3,"State","SC","Type2","Four-Year")</f>
        <v>30870</v>
      </c>
      <c r="R79" s="195">
        <f>GETPIVOTDATA("Sum of Old G E-Learning",'Pivot Table for Fact Book'!$A$3,"State","SC","type",7,"Type2","Two-Year")</f>
        <v>0</v>
      </c>
      <c r="S79" s="197">
        <f>GETPIVOTDATA("Sum of New G E-Learning",'Pivot Table for Fact Book'!$A$3,"State","SC","type",7,"Type2","Two-Year")</f>
        <v>0</v>
      </c>
      <c r="T79" s="197">
        <f>GETPIVOTDATA("Sum of Old G E-Learning",'Pivot Table for Fact Book'!$A$3,"State","SC","type",8,"Type2","Two-Year")</f>
        <v>0</v>
      </c>
      <c r="U79" s="197">
        <f>GETPIVOTDATA("Sum of New G E-Learning",'Pivot Table for Fact Book'!$A$3,"State","SC","type",8,"Type2","Two-Year")</f>
        <v>0</v>
      </c>
      <c r="V79" s="197">
        <f>GETPIVOTDATA("Sum of Old G E-Learning",'Pivot Table for Fact Book'!$A$3,"State","SC","type",9,"Type2","Two-Year")</f>
        <v>0</v>
      </c>
      <c r="W79" s="197">
        <f>GETPIVOTDATA("Sum of New G E-Learning",'Pivot Table for Fact Book'!$A$3,"State","SC","type",9,"Type2","Two-Year")</f>
        <v>0</v>
      </c>
      <c r="X79" s="197">
        <f>GETPIVOTDATA("Sum of Old G E-Learning",'Pivot Table for Fact Book'!$A$3,"State","SC","type",10,"Type2","Two-Year")</f>
        <v>0</v>
      </c>
      <c r="Y79" s="197">
        <f>GETPIVOTDATA("Sum of New G E-Learning",'Pivot Table for Fact Book'!$A$3,"State","SC","type",10,"Type2","Two-Year")</f>
        <v>0</v>
      </c>
      <c r="Z79" s="198">
        <f>GETPIVOTDATA("Sum of Old G E-Learning",'Pivot Table for Fact Book'!$A$3,"State","SC","Type2","Two-Year")</f>
        <v>0</v>
      </c>
      <c r="AA79" s="198">
        <f>GETPIVOTDATA("Sum of New G E-Learning",'Pivot Table for Fact Book'!$A$3,"State","SC","Type2","Two-Year")</f>
        <v>0</v>
      </c>
      <c r="AB79" s="195">
        <f>GETPIVOTDATA("Sum of Old G E-Learning",'Pivot Table for Fact Book'!$A$3,"State","SC","type",12,"Type2","Technical")</f>
        <v>0</v>
      </c>
      <c r="AC79" s="197">
        <f>GETPIVOTDATA("Sum of New G E-Learning",'Pivot Table for Fact Book'!$A$3,"State","SC","type",12,"Type2","Technical")</f>
        <v>0</v>
      </c>
      <c r="AD79" s="197">
        <f>GETPIVOTDATA("Sum of Old G E-Learning",'Pivot Table for Fact Book'!$A$3,"State","SC","type",13,"Type2","Technical")</f>
        <v>0</v>
      </c>
      <c r="AE79" s="197">
        <f>GETPIVOTDATA("Sum of New G E-Learning",'Pivot Table for Fact Book'!$A$3,"State","SC","type",13,"Type2","Technical")</f>
        <v>0</v>
      </c>
      <c r="AF79" s="197">
        <f>GETPIVOTDATA("Sum of Old G E-Learning",'Pivot Table for Fact Book'!$A$3,"State","SC","type",14,"Type2","Technical")</f>
        <v>0</v>
      </c>
      <c r="AG79" s="197">
        <f>GETPIVOTDATA("Sum of New G E-Learning",'Pivot Table for Fact Book'!$A$3,"State","SC","type",14,"Type2","Technical")</f>
        <v>0</v>
      </c>
      <c r="AH79" s="199">
        <f>GETPIVOTDATA("Sum of Old G E-Learning",'Pivot Table for Fact Book'!$A$3,"State","SC","Type2","Technical")</f>
        <v>0</v>
      </c>
      <c r="AI79" s="199">
        <f>GETPIVOTDATA("Sum of New G E-Learning",'Pivot Table for Fact Book'!$A$3,"State","SC","Type2","Technical")</f>
        <v>0</v>
      </c>
      <c r="AJ79" s="1"/>
    </row>
    <row r="80" spans="1:36">
      <c r="A80" s="175" t="s">
        <v>229</v>
      </c>
      <c r="B80" s="195">
        <f>GETPIVOTDATA("Sum of Old G E-Learning",'Pivot Table for Fact Book'!$A$3,"State","TN","type",1,"Type2","Four-Year")</f>
        <v>0</v>
      </c>
      <c r="C80" s="116">
        <f>GETPIVOTDATA("Sum of New G E-Learning",'Pivot Table for Fact Book'!$A$3,"State","TN","type",1,"Type2","Four-Year")</f>
        <v>17800</v>
      </c>
      <c r="D80" s="195">
        <f>GETPIVOTDATA("Sum of Old G E-Learning",'Pivot Table for Fact Book'!$A$3,"State","TN","type",2,"Type2","Four-Year")</f>
        <v>0</v>
      </c>
      <c r="E80" s="116">
        <f>GETPIVOTDATA("Sum of New G E-Learning",'Pivot Table for Fact Book'!$A$3,"State","TN","type",2,"Type2","Four-Year")</f>
        <v>8226</v>
      </c>
      <c r="F80" s="195">
        <f>GETPIVOTDATA("Sum of Old G E-Learning",'Pivot Table for Fact Book'!$A$3,"State","TN","type",3,"Type2","Four-Year")</f>
        <v>0</v>
      </c>
      <c r="G80" s="116">
        <f>GETPIVOTDATA("Sum of New G E-Learning",'Pivot Table for Fact Book'!$A$3,"State","TN","type",3,"Type2","Four-Year")</f>
        <v>20596</v>
      </c>
      <c r="H80" s="195">
        <f>GETPIVOTDATA("Sum of Old G E-Learning",'Pivot Table for Fact Book'!$A$3,"State","TN","type",4,"Type2","Four-Year")</f>
        <v>0</v>
      </c>
      <c r="I80" s="116">
        <f>GETPIVOTDATA("Sum of New G E-Learning",'Pivot Table for Fact Book'!$A$3,"State","TN","type",4,"Type2","Four-Year")</f>
        <v>16791</v>
      </c>
      <c r="J80" s="195">
        <f>GETPIVOTDATA("Sum of Old G E-Learning",'Pivot Table for Fact Book'!$A$3,"State","TN","type",5,"Type2","Four-Year")</f>
        <v>0</v>
      </c>
      <c r="K80" s="116">
        <f>GETPIVOTDATA("Sum of New G E-Learning",'Pivot Table for Fact Book'!$A$3,"State","TN","type",5,"Type2","Four-Year")</f>
        <v>3896</v>
      </c>
      <c r="L80" s="195">
        <f>GETPIVOTDATA("Sum of Old G E-Learning",'Pivot Table for Fact Book'!$A$3,"State","TN","type",6,"Type2","Four-Year")</f>
        <v>0</v>
      </c>
      <c r="M80" s="116">
        <f>GETPIVOTDATA("Sum of New G E-Learning",'Pivot Table for Fact Book'!$A$3,"State","TN","type",6,"Type2","Four-Year")</f>
        <v>0</v>
      </c>
      <c r="N80" s="195">
        <f>GETPIVOTDATA("Sum of Old G E-Learning",'Pivot Table for Fact Book'!$A$3,"State","TN","type",15,"Type2","Four-Year")</f>
        <v>0</v>
      </c>
      <c r="O80" s="116">
        <f>GETPIVOTDATA("Sum of New G E-Learning",'Pivot Table for Fact Book'!$A$3,"State","TN","type",15,"Type2","Four-Year")</f>
        <v>0</v>
      </c>
      <c r="P80" s="196">
        <f>GETPIVOTDATA("Sum of Old G E-Learning",'Pivot Table for Fact Book'!$A$3,"State","TN","Type2","Four-Year")</f>
        <v>0</v>
      </c>
      <c r="Q80" s="196">
        <f>GETPIVOTDATA("Sum of New G E-Learning",'Pivot Table for Fact Book'!$A$3,"State","TN","Type2","Four-Year")</f>
        <v>67309</v>
      </c>
      <c r="R80" s="195">
        <f>GETPIVOTDATA("Sum of Old G E-Learning",'Pivot Table for Fact Book'!$A$3,"State","TN","type",7,"Type2","Two-Year")</f>
        <v>0</v>
      </c>
      <c r="S80" s="197">
        <f>GETPIVOTDATA("Sum of New G E-Learning",'Pivot Table for Fact Book'!$A$3,"State","TN","type",7,"Type2","Two-Year")</f>
        <v>0</v>
      </c>
      <c r="T80" s="197">
        <f>GETPIVOTDATA("Sum of Old G E-Learning",'Pivot Table for Fact Book'!$A$3,"State","TN","type",8,"Type2","Two-Year")</f>
        <v>0</v>
      </c>
      <c r="U80" s="197">
        <f>GETPIVOTDATA("Sum of New G E-Learning",'Pivot Table for Fact Book'!$A$3,"State","TN","type",8,"Type2","Two-Year")</f>
        <v>0</v>
      </c>
      <c r="V80" s="197">
        <f>GETPIVOTDATA("Sum of Old G E-Learning",'Pivot Table for Fact Book'!$A$3,"State","TN","type",9,"Type2","Two-Year")</f>
        <v>0</v>
      </c>
      <c r="W80" s="197">
        <f>GETPIVOTDATA("Sum of New G E-Learning",'Pivot Table for Fact Book'!$A$3,"State","TN","type",9,"Type2","Two-Year")</f>
        <v>0</v>
      </c>
      <c r="X80" s="197">
        <f>GETPIVOTDATA("Sum of Old G E-Learning",'Pivot Table for Fact Book'!$A$3,"State","TN","type",10,"Type2","Two-Year")</f>
        <v>0</v>
      </c>
      <c r="Y80" s="197">
        <f>GETPIVOTDATA("Sum of New G E-Learning",'Pivot Table for Fact Book'!$A$3,"State","TN","type",10,"Type2","Two-Year")</f>
        <v>0</v>
      </c>
      <c r="Z80" s="198">
        <f>GETPIVOTDATA("Sum of Old G E-Learning",'Pivot Table for Fact Book'!$A$3,"State","TN","Type2","Two-Year")</f>
        <v>0</v>
      </c>
      <c r="AA80" s="198">
        <f>GETPIVOTDATA("Sum of New G E-Learning",'Pivot Table for Fact Book'!$A$3,"State","TN","Type2","Two-Year")</f>
        <v>0</v>
      </c>
      <c r="AB80" s="195">
        <f>GETPIVOTDATA("Sum of Old G E-Learning",'Pivot Table for Fact Book'!$A$3,"State","TN","type",12,"Type2","Technical")</f>
        <v>0</v>
      </c>
      <c r="AC80" s="197">
        <f>GETPIVOTDATA("Sum of New G E-Learning",'Pivot Table for Fact Book'!$A$3,"State","TN","type",12,"Type2","Technical")</f>
        <v>0</v>
      </c>
      <c r="AD80" s="197">
        <f>GETPIVOTDATA("Sum of Old G E-Learning",'Pivot Table for Fact Book'!$A$3,"State","TN","type",13,"Type2","Technical")</f>
        <v>0</v>
      </c>
      <c r="AE80" s="197">
        <f>GETPIVOTDATA("Sum of New G E-Learning",'Pivot Table for Fact Book'!$A$3,"State","TN","type",13,"Type2","Technical")</f>
        <v>0</v>
      </c>
      <c r="AF80" s="197">
        <f>GETPIVOTDATA("Sum of Old G E-Learning",'Pivot Table for Fact Book'!$A$3,"State","TN","type",14,"Type2","Technical")</f>
        <v>0</v>
      </c>
      <c r="AG80" s="197">
        <f>GETPIVOTDATA("Sum of New G E-Learning",'Pivot Table for Fact Book'!$A$3,"State","TN","type",14,"Type2","Technical")</f>
        <v>0</v>
      </c>
      <c r="AH80" s="199">
        <f>GETPIVOTDATA("Sum of Old G E-Learning",'Pivot Table for Fact Book'!$A$3,"State","TN","Type2","Technical")</f>
        <v>0</v>
      </c>
      <c r="AI80" s="199">
        <f>GETPIVOTDATA("Sum of New G E-Learning",'Pivot Table for Fact Book'!$A$3,"State","TN","Type2","Technical")</f>
        <v>0</v>
      </c>
      <c r="AJ80" s="1"/>
    </row>
    <row r="81" spans="1:36">
      <c r="A81" s="175" t="s">
        <v>213</v>
      </c>
      <c r="B81" s="195">
        <f>GETPIVOTDATA("Sum of Old G E-Learning",'Pivot Table for Fact Book'!$A$3,"State","TX","type",1,"Type2","Four-Year")</f>
        <v>68746</v>
      </c>
      <c r="C81" s="116">
        <f>GETPIVOTDATA("Sum of New G E-Learning",'Pivot Table for Fact Book'!$A$3,"State","TX","type",1,"Type2","Four-Year")</f>
        <v>79570</v>
      </c>
      <c r="D81" s="195">
        <f>GETPIVOTDATA("Sum of Old G E-Learning",'Pivot Table for Fact Book'!$A$3,"State","TX","type",2,"Type2","Four-Year")</f>
        <v>43307</v>
      </c>
      <c r="E81" s="116">
        <f>GETPIVOTDATA("Sum of New G E-Learning",'Pivot Table for Fact Book'!$A$3,"State","TX","type",2,"Type2","Four-Year")</f>
        <v>43951</v>
      </c>
      <c r="F81" s="195">
        <f>GETPIVOTDATA("Sum of Old G E-Learning",'Pivot Table for Fact Book'!$A$3,"State","TX","type",3,"Type2","Four-Year")</f>
        <v>90519</v>
      </c>
      <c r="G81" s="116">
        <f>GETPIVOTDATA("Sum of New G E-Learning",'Pivot Table for Fact Book'!$A$3,"State","TX","type",3,"Type2","Four-Year")</f>
        <v>159552</v>
      </c>
      <c r="H81" s="195">
        <f>GETPIVOTDATA("Sum of Old G E-Learning",'Pivot Table for Fact Book'!$A$3,"State","TX","type",4,"Type2","Four-Year")</f>
        <v>9274</v>
      </c>
      <c r="I81" s="116">
        <f>GETPIVOTDATA("Sum of New G E-Learning",'Pivot Table for Fact Book'!$A$3,"State","TX","type",4,"Type2","Four-Year")</f>
        <v>10395</v>
      </c>
      <c r="J81" s="195">
        <f>GETPIVOTDATA("Sum of Old G E-Learning",'Pivot Table for Fact Book'!$A$3,"State","TX","type",5,"Type2","Four-Year")</f>
        <v>14751</v>
      </c>
      <c r="K81" s="116">
        <f>GETPIVOTDATA("Sum of New G E-Learning",'Pivot Table for Fact Book'!$A$3,"State","TX","type",5,"Type2","Four-Year")</f>
        <v>17352</v>
      </c>
      <c r="L81" s="195">
        <f>GETPIVOTDATA("Sum of Old G E-Learning",'Pivot Table for Fact Book'!$A$3,"State","TX","type",6,"Type2","Four-Year")</f>
        <v>0</v>
      </c>
      <c r="M81" s="116">
        <f>GETPIVOTDATA("Sum of New G E-Learning",'Pivot Table for Fact Book'!$A$3,"State","TX","type",6,"Type2","Four-Year")</f>
        <v>0</v>
      </c>
      <c r="N81" s="195">
        <f>GETPIVOTDATA("Sum of Old G E-Learning",'Pivot Table for Fact Book'!$A$3,"State","TX","type",15,"Type2","Four-Year")</f>
        <v>0</v>
      </c>
      <c r="O81" s="116">
        <f>GETPIVOTDATA("Sum of New G E-Learning",'Pivot Table for Fact Book'!$A$3,"State","TX","type",15,"Type2","Four-Year")</f>
        <v>0</v>
      </c>
      <c r="P81" s="196">
        <f>GETPIVOTDATA("Sum of Old G E-Learning",'Pivot Table for Fact Book'!$A$3,"State","TX","Type2","Four-Year")</f>
        <v>226597</v>
      </c>
      <c r="Q81" s="196">
        <f>GETPIVOTDATA("Sum of New G E-Learning",'Pivot Table for Fact Book'!$A$3,"State","TX","Type2","Four-Year")</f>
        <v>310820</v>
      </c>
      <c r="R81" s="195">
        <f>GETPIVOTDATA("Sum of Old G E-Learning",'Pivot Table for Fact Book'!$A$3,"State","TX","type",7,"Type2","Two-Year")</f>
        <v>0</v>
      </c>
      <c r="S81" s="197">
        <f>GETPIVOTDATA("Sum of New G E-Learning",'Pivot Table for Fact Book'!$A$3,"State","TX","type",7,"Type2","Two-Year")</f>
        <v>0</v>
      </c>
      <c r="T81" s="197">
        <f>GETPIVOTDATA("Sum of Old G E-Learning",'Pivot Table for Fact Book'!$A$3,"State","TX","type",8,"Type2","Two-Year")</f>
        <v>0</v>
      </c>
      <c r="U81" s="197">
        <f>GETPIVOTDATA("Sum of New G E-Learning",'Pivot Table for Fact Book'!$A$3,"State","TX","type",8,"Type2","Two-Year")</f>
        <v>0</v>
      </c>
      <c r="V81" s="197">
        <f>GETPIVOTDATA("Sum of Old G E-Learning",'Pivot Table for Fact Book'!$A$3,"State","TX","type",9,"Type2","Two-Year")</f>
        <v>0</v>
      </c>
      <c r="W81" s="197">
        <f>GETPIVOTDATA("Sum of New G E-Learning",'Pivot Table for Fact Book'!$A$3,"State","TX","type",9,"Type2","Two-Year")</f>
        <v>0</v>
      </c>
      <c r="X81" s="197">
        <f>GETPIVOTDATA("Sum of Old G E-Learning",'Pivot Table for Fact Book'!$A$3,"State","TX","type",10,"Type2","Two-Year")</f>
        <v>0</v>
      </c>
      <c r="Y81" s="197">
        <f>GETPIVOTDATA("Sum of New G E-Learning",'Pivot Table for Fact Book'!$A$3,"State","TX","type",10,"Type2","Two-Year")</f>
        <v>0</v>
      </c>
      <c r="Z81" s="198">
        <f>GETPIVOTDATA("Sum of Old G E-Learning",'Pivot Table for Fact Book'!$A$3,"State","TX","Type2","Two-Year")</f>
        <v>0</v>
      </c>
      <c r="AA81" s="198">
        <f>GETPIVOTDATA("Sum of New G E-Learning",'Pivot Table for Fact Book'!$A$3,"State","TX","Type2","Two-Year")</f>
        <v>0</v>
      </c>
      <c r="AB81" s="195">
        <f>GETPIVOTDATA("Sum of Old G E-Learning",'Pivot Table for Fact Book'!$A$3,"State","TX","type",12,"Type2","Technical")</f>
        <v>0</v>
      </c>
      <c r="AC81" s="197">
        <f>GETPIVOTDATA("Sum of New G E-Learning",'Pivot Table for Fact Book'!$A$3,"State","TX","type",12,"Type2","Technical")</f>
        <v>0</v>
      </c>
      <c r="AD81" s="197">
        <f>GETPIVOTDATA("Sum of Old G E-Learning",'Pivot Table for Fact Book'!$A$3,"State","TX","type",13,"Type2","Technical")</f>
        <v>0</v>
      </c>
      <c r="AE81" s="197">
        <f>GETPIVOTDATA("Sum of New G E-Learning",'Pivot Table for Fact Book'!$A$3,"State","TX","type",13,"Type2","Technical")</f>
        <v>0</v>
      </c>
      <c r="AF81" s="197">
        <f>GETPIVOTDATA("Sum of Old G E-Learning",'Pivot Table for Fact Book'!$A$3,"State","TX","type",14,"Type2","Technical")</f>
        <v>0</v>
      </c>
      <c r="AG81" s="197">
        <f>GETPIVOTDATA("Sum of New G E-Learning",'Pivot Table for Fact Book'!$A$3,"State","TX","type",14,"Type2","Technical")</f>
        <v>0</v>
      </c>
      <c r="AH81" s="199">
        <f>GETPIVOTDATA("Sum of Old G E-Learning",'Pivot Table for Fact Book'!$A$3,"State","TX","Type2","Technical")</f>
        <v>0</v>
      </c>
      <c r="AI81" s="199">
        <f>GETPIVOTDATA("Sum of New G E-Learning",'Pivot Table for Fact Book'!$A$3,"State","TX","Type2","Technical")</f>
        <v>0</v>
      </c>
      <c r="AJ81" s="1"/>
    </row>
    <row r="82" spans="1:36">
      <c r="A82" s="175" t="s">
        <v>230</v>
      </c>
      <c r="B82" s="195">
        <f>GETPIVOTDATA("Sum of Old G E-Learning",'Pivot Table for Fact Book'!$A$3,"State","VA","type",1,"Type2","Four-Year")</f>
        <v>0</v>
      </c>
      <c r="C82" s="116">
        <f>GETPIVOTDATA("Sum of New G E-Learning",'Pivot Table for Fact Book'!$A$3,"State","VA","type",1,"Type2","Four-Year")</f>
        <v>0</v>
      </c>
      <c r="D82" s="195">
        <f>GETPIVOTDATA("Sum of Old G E-Learning",'Pivot Table for Fact Book'!$A$3,"State","VA","type",2,"Type2","Four-Year")</f>
        <v>0</v>
      </c>
      <c r="E82" s="116">
        <f>GETPIVOTDATA("Sum of New G E-Learning",'Pivot Table for Fact Book'!$A$3,"State","VA","type",2,"Type2","Four-Year")</f>
        <v>0</v>
      </c>
      <c r="F82" s="195">
        <f>GETPIVOTDATA("Sum of Old G E-Learning",'Pivot Table for Fact Book'!$A$3,"State","VA","type",3,"Type2","Four-Year")</f>
        <v>0</v>
      </c>
      <c r="G82" s="116">
        <f>GETPIVOTDATA("Sum of New G E-Learning",'Pivot Table for Fact Book'!$A$3,"State","VA","type",3,"Type2","Four-Year")</f>
        <v>0</v>
      </c>
      <c r="H82" s="195">
        <f>GETPIVOTDATA("Sum of Old G E-Learning",'Pivot Table for Fact Book'!$A$3,"State","VA","type",4,"Type2","Four-Year")</f>
        <v>0</v>
      </c>
      <c r="I82" s="116">
        <f>GETPIVOTDATA("Sum of New G E-Learning",'Pivot Table for Fact Book'!$A$3,"State","VA","type",4,"Type2","Four-Year")</f>
        <v>0</v>
      </c>
      <c r="J82" s="195">
        <f>GETPIVOTDATA("Sum of Old G E-Learning",'Pivot Table for Fact Book'!$A$3,"State","VA","type",5,"Type2","Four-Year")</f>
        <v>0</v>
      </c>
      <c r="K82" s="116">
        <f>GETPIVOTDATA("Sum of New G E-Learning",'Pivot Table for Fact Book'!$A$3,"State","VA","type",5,"Type2","Four-Year")</f>
        <v>0</v>
      </c>
      <c r="L82" s="195">
        <f>GETPIVOTDATA("Sum of Old G E-Learning",'Pivot Table for Fact Book'!$A$3,"State","VA","type",6,"Type2","Four-Year")</f>
        <v>0</v>
      </c>
      <c r="M82" s="116">
        <f>GETPIVOTDATA("Sum of New G E-Learning",'Pivot Table for Fact Book'!$A$3,"State","VA","type",6,"Type2","Four-Year")</f>
        <v>0</v>
      </c>
      <c r="N82" s="195">
        <f>GETPIVOTDATA("Sum of Old G E-Learning",'Pivot Table for Fact Book'!$A$3,"State","VA","type",15,"Type2","Four-Year")</f>
        <v>0</v>
      </c>
      <c r="O82" s="116">
        <f>GETPIVOTDATA("Sum of New G E-Learning",'Pivot Table for Fact Book'!$A$3,"State","VA","type",15,"Type2","Four-Year")</f>
        <v>0</v>
      </c>
      <c r="P82" s="196">
        <f>GETPIVOTDATA("Sum of Old G E-Learning",'Pivot Table for Fact Book'!$A$3,"State","VA","Type2","Four-Year")</f>
        <v>0</v>
      </c>
      <c r="Q82" s="196">
        <f>GETPIVOTDATA("Sum of New G E-Learning",'Pivot Table for Fact Book'!$A$3,"State","VA","Type2","Four-Year")</f>
        <v>0</v>
      </c>
      <c r="R82" s="195">
        <f>GETPIVOTDATA("Sum of Old G E-Learning",'Pivot Table for Fact Book'!$A$3,"State","VA","type",7,"Type2","Two-Year")</f>
        <v>0</v>
      </c>
      <c r="S82" s="197">
        <f>GETPIVOTDATA("Sum of New G E-Learning",'Pivot Table for Fact Book'!$A$3,"State","VA","type",7,"Type2","Two-Year")</f>
        <v>0</v>
      </c>
      <c r="T82" s="197">
        <f>GETPIVOTDATA("Sum of Old G E-Learning",'Pivot Table for Fact Book'!$A$3,"State","VA","type",8,"Type2","Two-Year")</f>
        <v>0</v>
      </c>
      <c r="U82" s="197">
        <f>GETPIVOTDATA("Sum of New G E-Learning",'Pivot Table for Fact Book'!$A$3,"State","VA","type",8,"Type2","Two-Year")</f>
        <v>0</v>
      </c>
      <c r="V82" s="197">
        <f>GETPIVOTDATA("Sum of Old G E-Learning",'Pivot Table for Fact Book'!$A$3,"State","VA","type",9,"Type2","Two-Year")</f>
        <v>0</v>
      </c>
      <c r="W82" s="197">
        <f>GETPIVOTDATA("Sum of New G E-Learning",'Pivot Table for Fact Book'!$A$3,"State","VA","type",9,"Type2","Two-Year")</f>
        <v>0</v>
      </c>
      <c r="X82" s="197">
        <f>GETPIVOTDATA("Sum of Old G E-Learning",'Pivot Table for Fact Book'!$A$3,"State","VA","type",10,"Type2","Two-Year")</f>
        <v>0</v>
      </c>
      <c r="Y82" s="197">
        <f>GETPIVOTDATA("Sum of New G E-Learning",'Pivot Table for Fact Book'!$A$3,"State","VA","type",10,"Type2","Two-Year")</f>
        <v>0</v>
      </c>
      <c r="Z82" s="198">
        <f>GETPIVOTDATA("Sum of Old G E-Learning",'Pivot Table for Fact Book'!$A$3,"State","VA","Type2","Two-Year")</f>
        <v>0</v>
      </c>
      <c r="AA82" s="198">
        <f>GETPIVOTDATA("Sum of New G E-Learning",'Pivot Table for Fact Book'!$A$3,"State","VA","Type2","Two-Year")</f>
        <v>0</v>
      </c>
      <c r="AB82" s="195">
        <f>GETPIVOTDATA("Sum of Old G E-Learning",'Pivot Table for Fact Book'!$A$3,"State","VA","type",12,"Type2","Technical")</f>
        <v>0</v>
      </c>
      <c r="AC82" s="197">
        <f>GETPIVOTDATA("Sum of New G E-Learning",'Pivot Table for Fact Book'!$A$3,"State","VA","type",12,"Type2","Technical")</f>
        <v>0</v>
      </c>
      <c r="AD82" s="197">
        <f>GETPIVOTDATA("Sum of Old G E-Learning",'Pivot Table for Fact Book'!$A$3,"State","VA","type",13,"Type2","Technical")</f>
        <v>0</v>
      </c>
      <c r="AE82" s="197">
        <f>GETPIVOTDATA("Sum of New G E-Learning",'Pivot Table for Fact Book'!$A$3,"State","VA","type",13,"Type2","Technical")</f>
        <v>0</v>
      </c>
      <c r="AF82" s="197">
        <f>GETPIVOTDATA("Sum of Old G E-Learning",'Pivot Table for Fact Book'!$A$3,"State","VA","type",14,"Type2","Technical")</f>
        <v>0</v>
      </c>
      <c r="AG82" s="197">
        <f>GETPIVOTDATA("Sum of New G E-Learning",'Pivot Table for Fact Book'!$A$3,"State","VA","type",14,"Type2","Technical")</f>
        <v>0</v>
      </c>
      <c r="AH82" s="199">
        <f>GETPIVOTDATA("Sum of Old G E-Learning",'Pivot Table for Fact Book'!$A$3,"State","VA","Type2","Technical")</f>
        <v>0</v>
      </c>
      <c r="AI82" s="199">
        <f>GETPIVOTDATA("Sum of New G E-Learning",'Pivot Table for Fact Book'!$A$3,"State","VA","Type2","Technical")</f>
        <v>0</v>
      </c>
      <c r="AJ82" s="1"/>
    </row>
    <row r="83" spans="1:36">
      <c r="A83" s="175" t="s">
        <v>206</v>
      </c>
      <c r="B83" s="195">
        <f>GETPIVOTDATA("Sum of Old G E-Learning",'Pivot Table for Fact Book'!$A$3,"State","WV","type",1,"Type2","Four-Year")</f>
        <v>19837</v>
      </c>
      <c r="C83" s="116">
        <f>GETPIVOTDATA("Sum of New G E-Learning",'Pivot Table for Fact Book'!$A$3,"State","WV","type",1,"Type2","Four-Year")</f>
        <v>23396</v>
      </c>
      <c r="D83" s="195">
        <f>GETPIVOTDATA("Sum of Old G E-Learning",'Pivot Table for Fact Book'!$A$3,"State","WV","type",2,"Type2","Four-Year")</f>
        <v>0</v>
      </c>
      <c r="E83" s="116">
        <f>GETPIVOTDATA("Sum of New G E-Learning",'Pivot Table for Fact Book'!$A$3,"State","WV","type",2,"Type2","Four-Year")</f>
        <v>0</v>
      </c>
      <c r="F83" s="195">
        <f>GETPIVOTDATA("Sum of Old G E-Learning",'Pivot Table for Fact Book'!$A$3,"State","WV","type",3,"Type2","Four-Year")</f>
        <v>13631</v>
      </c>
      <c r="G83" s="116">
        <f>GETPIVOTDATA("Sum of New G E-Learning",'Pivot Table for Fact Book'!$A$3,"State","WV","type",3,"Type2","Four-Year")</f>
        <v>13454</v>
      </c>
      <c r="H83" s="195">
        <f>GETPIVOTDATA("Sum of Old G E-Learning",'Pivot Table for Fact Book'!$A$3,"State","WV","type",4,"Type2","Four-Year")</f>
        <v>0</v>
      </c>
      <c r="I83" s="116">
        <f>GETPIVOTDATA("Sum of New G E-Learning",'Pivot Table for Fact Book'!$A$3,"State","WV","type",4,"Type2","Four-Year")</f>
        <v>0</v>
      </c>
      <c r="J83" s="195">
        <f>GETPIVOTDATA("Sum of Old G E-Learning",'Pivot Table for Fact Book'!$A$3,"State","WV","type",5,"Type2","Four-Year")</f>
        <v>0</v>
      </c>
      <c r="K83" s="116">
        <f>GETPIVOTDATA("Sum of New G E-Learning",'Pivot Table for Fact Book'!$A$3,"State","WV","type",5,"Type2","Four-Year")</f>
        <v>0</v>
      </c>
      <c r="L83" s="195">
        <f>GETPIVOTDATA("Sum of Old G E-Learning",'Pivot Table for Fact Book'!$A$3,"State","WV","type",6,"Type2","Four-Year")</f>
        <v>4898</v>
      </c>
      <c r="M83" s="116">
        <f>GETPIVOTDATA("Sum of New G E-Learning",'Pivot Table for Fact Book'!$A$3,"State","WV","type",6,"Type2","Four-Year")</f>
        <v>5711</v>
      </c>
      <c r="N83" s="195">
        <f>GETPIVOTDATA("Sum of Old G E-Learning",'Pivot Table for Fact Book'!$A$3,"State","WV","type",15,"Type2","Four-Year")</f>
        <v>0</v>
      </c>
      <c r="O83" s="116">
        <f>GETPIVOTDATA("Sum of New G E-Learning",'Pivot Table for Fact Book'!$A$3,"State","WV","type",15,"Type2","Four-Year")</f>
        <v>0</v>
      </c>
      <c r="P83" s="196">
        <f>GETPIVOTDATA("Sum of Old G E-Learning",'Pivot Table for Fact Book'!$A$3,"State","WV","Type2","Four-Year")</f>
        <v>38366</v>
      </c>
      <c r="Q83" s="196">
        <f>GETPIVOTDATA("Sum of New G E-Learning",'Pivot Table for Fact Book'!$A$3,"State","WV","Type2","Four-Year")</f>
        <v>42561</v>
      </c>
      <c r="R83" s="195">
        <f>GETPIVOTDATA("Sum of Old G E-Learning",'Pivot Table for Fact Book'!$A$3,"State","WV","type",7,"Type2","Two-Year")</f>
        <v>0</v>
      </c>
      <c r="S83" s="197">
        <f>GETPIVOTDATA("Sum of New G E-Learning",'Pivot Table for Fact Book'!$A$3,"State","WV","type",7,"Type2","Two-Year")</f>
        <v>0</v>
      </c>
      <c r="T83" s="197">
        <f>GETPIVOTDATA("Sum of Old G E-Learning",'Pivot Table for Fact Book'!$A$3,"State","WV","type",8,"Type2","Two-Year")</f>
        <v>0</v>
      </c>
      <c r="U83" s="197">
        <f>GETPIVOTDATA("Sum of New G E-Learning",'Pivot Table for Fact Book'!$A$3,"State","WV","type",8,"Type2","Two-Year")</f>
        <v>0</v>
      </c>
      <c r="V83" s="197">
        <f>GETPIVOTDATA("Sum of Old G E-Learning",'Pivot Table for Fact Book'!$A$3,"State","WV","type",9,"Type2","Two-Year")</f>
        <v>0</v>
      </c>
      <c r="W83" s="197">
        <f>GETPIVOTDATA("Sum of New G E-Learning",'Pivot Table for Fact Book'!$A$3,"State","WV","type",9,"Type2","Two-Year")</f>
        <v>0</v>
      </c>
      <c r="X83" s="197">
        <f>GETPIVOTDATA("Sum of Old G E-Learning",'Pivot Table for Fact Book'!$A$3,"State","WV","type",10,"Type2","Two-Year")</f>
        <v>0</v>
      </c>
      <c r="Y83" s="197">
        <f>GETPIVOTDATA("Sum of New G E-Learning",'Pivot Table for Fact Book'!$A$3,"State","WV","type",10,"Type2","Two-Year")</f>
        <v>0</v>
      </c>
      <c r="Z83" s="198">
        <f>GETPIVOTDATA("Sum of Old G E-Learning",'Pivot Table for Fact Book'!$A$3,"State","WV","Type2","Two-Year")</f>
        <v>0</v>
      </c>
      <c r="AA83" s="198">
        <f>GETPIVOTDATA("Sum of New G E-Learning",'Pivot Table for Fact Book'!$A$3,"State","WV","Type2","Two-Year")</f>
        <v>0</v>
      </c>
      <c r="AB83" s="195">
        <f>GETPIVOTDATA("Sum of Old G E-Learning",'Pivot Table for Fact Book'!$A$3,"State","WV","type",12,"Type2","Technical")</f>
        <v>0</v>
      </c>
      <c r="AC83" s="197">
        <f>GETPIVOTDATA("Sum of New G E-Learning",'Pivot Table for Fact Book'!$A$3,"State","WV","type",12,"Type2","Technical")</f>
        <v>0</v>
      </c>
      <c r="AD83" s="197">
        <f>GETPIVOTDATA("Sum of Old G E-Learning",'Pivot Table for Fact Book'!$A$3,"State","WV","type",13,"Type2","Technical")</f>
        <v>0</v>
      </c>
      <c r="AE83" s="197">
        <f>GETPIVOTDATA("Sum of New G E-Learning",'Pivot Table for Fact Book'!$A$3,"State","WV","type",13,"Type2","Technical")</f>
        <v>0</v>
      </c>
      <c r="AF83" s="197">
        <f>GETPIVOTDATA("Sum of Old G E-Learning",'Pivot Table for Fact Book'!$A$3,"State","WV","type",14,"Type2","Technical")</f>
        <v>0</v>
      </c>
      <c r="AG83" s="197">
        <f>GETPIVOTDATA("Sum of New G E-Learning",'Pivot Table for Fact Book'!$A$3,"State","WV","type",14,"Type2","Technical")</f>
        <v>0</v>
      </c>
      <c r="AH83" s="199">
        <f>GETPIVOTDATA("Sum of Old G E-Learning",'Pivot Table for Fact Book'!$A$3,"State","WV","Type2","Technical")</f>
        <v>0</v>
      </c>
      <c r="AI83" s="199">
        <f>GETPIVOTDATA("Sum of New G E-Learning",'Pivot Table for Fact Book'!$A$3,"State","WV","Type2","Technical")</f>
        <v>0</v>
      </c>
      <c r="AJ83" s="1"/>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E-learning credit hours</vt:lpstr>
      <vt:lpstr>Overview tables (51-54)</vt:lpstr>
      <vt:lpstr>Tables by type (55-76)</vt:lpstr>
      <vt:lpstr>Pivot Table for Fact Book</vt:lpstr>
      <vt:lpstr>Format for pivot table FB</vt:lpstr>
      <vt:lpstr> Pivot Table for Data Exchange</vt:lpstr>
      <vt:lpstr>Format for pivot table DE</vt:lpstr>
      <vt:lpstr>Summary Table for Fact Book</vt:lpstr>
      <vt:lpstr>'E-learning credit hours'!Dual07</vt:lpstr>
      <vt:lpstr>'E-learning credit hours'!Dual08</vt:lpstr>
      <vt:lpstr>'E-learning credit hours'!JrCH08ug1</vt:lpstr>
      <vt:lpstr>'E-learning credit hours'!JrCH08ug2</vt:lpstr>
      <vt:lpstr>'E-learning credit hours'!JrCH08ug3</vt:lpstr>
      <vt:lpstr>'E-learning credit hours'!JrCH08ug4</vt:lpstr>
      <vt:lpstr>'E-learning credit hours'!JrSCH08ug1</vt:lpstr>
      <vt:lpstr>'E-learning credit hours'!JrSCH08ug2</vt:lpstr>
      <vt:lpstr>'E-learning credit hours'!JrSCH08ug3</vt:lpstr>
      <vt:lpstr>'E-learning credit hours'!JrSCH08ug4</vt:lpstr>
      <vt:lpstr>' Pivot Table for Data Exchange'!Print_Area</vt:lpstr>
      <vt:lpstr>'Overview tables (51-54)'!Print_Area</vt:lpstr>
      <vt:lpstr>'Tables by type (55-76)'!Print_Area</vt:lpstr>
      <vt:lpstr>' Pivot Table for Data Exchange'!Print_Titles</vt:lpstr>
      <vt:lpstr>'E-learning credit hours'!Print_Titles</vt:lpstr>
      <vt:lpstr>'E-learning credit hours'!SrSCH08ug2</vt:lpstr>
      <vt:lpstr>'E-learning credit hours'!SrSCH08ug3</vt:lpstr>
      <vt:lpstr>'E-learning credit hours'!SrSCH08ug4</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2009-12-15T20:02:09Z</cp:lastPrinted>
  <dcterms:created xsi:type="dcterms:W3CDTF">2002-04-04T16:20:35Z</dcterms:created>
  <dcterms:modified xsi:type="dcterms:W3CDTF">2010-01-13T18:42:44Z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920242129</vt:i4>
  </property>
  <property fmtid="{D5CDD505-2E9C-101B-9397-08002B2CF9AE}" pid="3" name="_EmailSubject">
    <vt:lpwstr>WV's SREB E-learning Pilot</vt:lpwstr>
  </property>
  <property fmtid="{D5CDD505-2E9C-101B-9397-08002B2CF9AE}" pid="4" name="_AuthorEmail">
    <vt:lpwstr>reedjr@HEPC.WVNET.EDU</vt:lpwstr>
  </property>
  <property fmtid="{D5CDD505-2E9C-101B-9397-08002B2CF9AE}" pid="5" name="_AuthorEmailDisplayName">
    <vt:lpwstr>Jeannie Reed</vt:lpwstr>
  </property>
  <property fmtid="{D5CDD505-2E9C-101B-9397-08002B2CF9AE}" pid="6" name="_ReviewingToolsShownOnce">
    <vt:lpwstr/>
  </property>
</Properties>
</file>